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2_ncr:500000_{424C4649-13AD-437C-8DD0-BC61931EB0FC}" xr6:coauthVersionLast="31" xr6:coauthVersionMax="31" xr10:uidLastSave="{00000000-0000-0000-0000-000000000000}"/>
  <bookViews>
    <workbookView xWindow="0" yWindow="0" windowWidth="19560" windowHeight="8130" activeTab="2" xr2:uid="{00000000-000D-0000-FFFF-FFFF00000000}"/>
  </bookViews>
  <sheets>
    <sheet name="MENSUAL" sheetId="4" r:id="rId1"/>
    <sheet name="QUINCENAL" sheetId="8" r:id="rId2"/>
    <sheet name="SEMANAL" sheetId="9" r:id="rId3"/>
    <sheet name="Planilla ISSS" sheetId="3" r:id="rId4"/>
    <sheet name="Planilla AFP" sheetId="2" r:id="rId5"/>
    <sheet name="Tabla de Renta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3" l="1"/>
  <c r="T23" i="3"/>
  <c r="T22" i="3"/>
  <c r="T21" i="3"/>
  <c r="T20" i="3"/>
  <c r="T19" i="3"/>
  <c r="T18" i="3"/>
  <c r="S24" i="3"/>
  <c r="S23" i="3"/>
  <c r="S22" i="3"/>
  <c r="S21" i="3"/>
  <c r="S20" i="3"/>
  <c r="S19" i="3"/>
  <c r="S18" i="3"/>
  <c r="K24" i="3"/>
  <c r="K23" i="3"/>
  <c r="K22" i="3"/>
  <c r="K21" i="3"/>
  <c r="K20" i="3"/>
  <c r="K19" i="3"/>
  <c r="K18" i="3"/>
  <c r="I24" i="3"/>
  <c r="I23" i="3"/>
  <c r="I22" i="3"/>
  <c r="I21" i="3"/>
  <c r="I20" i="3"/>
  <c r="I19" i="3"/>
  <c r="I18" i="3"/>
  <c r="E24" i="3"/>
  <c r="E23" i="3"/>
  <c r="E22" i="3"/>
  <c r="E21" i="3"/>
  <c r="E20" i="3"/>
  <c r="E19" i="3"/>
  <c r="E18" i="3"/>
  <c r="O13" i="9"/>
  <c r="Q13" i="9" s="1"/>
  <c r="O12" i="9"/>
  <c r="O11" i="9"/>
  <c r="Q11" i="9" s="1"/>
  <c r="O10" i="9"/>
  <c r="O9" i="9"/>
  <c r="O8" i="9"/>
  <c r="J7" i="9"/>
  <c r="J14" i="9" s="1"/>
  <c r="I7" i="9"/>
  <c r="M13" i="9"/>
  <c r="M11" i="9"/>
  <c r="M10" i="9"/>
  <c r="M8" i="9"/>
  <c r="M13" i="8"/>
  <c r="M12" i="8"/>
  <c r="M11" i="8"/>
  <c r="M10" i="8"/>
  <c r="M9" i="8"/>
  <c r="M8" i="8"/>
  <c r="M7" i="8"/>
  <c r="P14" i="9"/>
  <c r="H14" i="9"/>
  <c r="F14" i="9"/>
  <c r="K13" i="9"/>
  <c r="L13" i="9" s="1"/>
  <c r="K12" i="9"/>
  <c r="L12" i="9" s="1"/>
  <c r="M12" i="9" s="1"/>
  <c r="K11" i="9"/>
  <c r="L11" i="9" s="1"/>
  <c r="K10" i="9"/>
  <c r="L10" i="9" s="1"/>
  <c r="K9" i="9"/>
  <c r="L9" i="9" s="1"/>
  <c r="K8" i="9"/>
  <c r="L8" i="9" s="1"/>
  <c r="I14" i="9"/>
  <c r="J7" i="8"/>
  <c r="I7" i="8"/>
  <c r="J8" i="4"/>
  <c r="I8" i="4"/>
  <c r="M9" i="9" l="1"/>
  <c r="N8" i="9"/>
  <c r="N9" i="9"/>
  <c r="N13" i="9"/>
  <c r="N10" i="9"/>
  <c r="N11" i="9"/>
  <c r="N12" i="9"/>
  <c r="K7" i="9"/>
  <c r="L13" i="8"/>
  <c r="L9" i="8"/>
  <c r="L8" i="8"/>
  <c r="P14" i="8"/>
  <c r="I14" i="8"/>
  <c r="H14" i="8"/>
  <c r="F14" i="8"/>
  <c r="K13" i="8"/>
  <c r="K12" i="8"/>
  <c r="L12" i="8" s="1"/>
  <c r="K11" i="8"/>
  <c r="L11" i="8" s="1"/>
  <c r="K10" i="8"/>
  <c r="L10" i="8" s="1"/>
  <c r="K9" i="8"/>
  <c r="K8" i="8"/>
  <c r="J14" i="8"/>
  <c r="K14" i="4"/>
  <c r="L14" i="4" s="1"/>
  <c r="N14" i="4" s="1"/>
  <c r="K13" i="4"/>
  <c r="L13" i="4" s="1"/>
  <c r="N13" i="4" s="1"/>
  <c r="K12" i="4"/>
  <c r="L12" i="4" s="1"/>
  <c r="N12" i="4" s="1"/>
  <c r="K11" i="4"/>
  <c r="L11" i="4" s="1"/>
  <c r="N11" i="4" s="1"/>
  <c r="K10" i="4"/>
  <c r="L10" i="4" s="1"/>
  <c r="N10" i="4" s="1"/>
  <c r="K9" i="4"/>
  <c r="L9" i="4" s="1"/>
  <c r="N9" i="4" s="1"/>
  <c r="P15" i="4"/>
  <c r="H15" i="4"/>
  <c r="F15" i="4"/>
  <c r="N14" i="5"/>
  <c r="Q12" i="9" l="1"/>
  <c r="Q9" i="9"/>
  <c r="Q10" i="9"/>
  <c r="Q8" i="9"/>
  <c r="K14" i="9"/>
  <c r="L7" i="9"/>
  <c r="M7" i="9" s="1"/>
  <c r="N13" i="8"/>
  <c r="N11" i="8"/>
  <c r="N9" i="8"/>
  <c r="K7" i="8"/>
  <c r="L7" i="8" s="1"/>
  <c r="O10" i="8"/>
  <c r="N8" i="8"/>
  <c r="N10" i="8"/>
  <c r="N12" i="8"/>
  <c r="L14" i="9" l="1"/>
  <c r="N7" i="9"/>
  <c r="N14" i="9" s="1"/>
  <c r="M14" i="9"/>
  <c r="O12" i="8"/>
  <c r="Q12" i="8" s="1"/>
  <c r="O9" i="8"/>
  <c r="Q9" i="8" s="1"/>
  <c r="O11" i="8"/>
  <c r="Q11" i="8" s="1"/>
  <c r="O8" i="8"/>
  <c r="Q8" i="8" s="1"/>
  <c r="O13" i="8"/>
  <c r="Q13" i="8" s="1"/>
  <c r="K14" i="8"/>
  <c r="Q10" i="8"/>
  <c r="O7" i="9" l="1"/>
  <c r="O14" i="9" s="1"/>
  <c r="L14" i="8"/>
  <c r="N7" i="8"/>
  <c r="N14" i="8" s="1"/>
  <c r="V24" i="2"/>
  <c r="Y24" i="2" s="1"/>
  <c r="Y23" i="2"/>
  <c r="Y17" i="2"/>
  <c r="Y18" i="2"/>
  <c r="Y19" i="2"/>
  <c r="Y20" i="2"/>
  <c r="Y21" i="2"/>
  <c r="Y22" i="2"/>
  <c r="Y16" i="2"/>
  <c r="Y15" i="2"/>
  <c r="I15" i="4"/>
  <c r="Q7" i="9" l="1"/>
  <c r="Q14" i="9" s="1"/>
  <c r="M14" i="8"/>
  <c r="O7" i="8"/>
  <c r="M13" i="4"/>
  <c r="O14" i="8" l="1"/>
  <c r="Q7" i="8"/>
  <c r="Q14" i="8" s="1"/>
  <c r="M11" i="4"/>
  <c r="K8" i="4" l="1"/>
  <c r="L8" i="4" s="1"/>
  <c r="N8" i="4" s="1"/>
  <c r="J15" i="4"/>
  <c r="O11" i="4"/>
  <c r="Q11" i="4" s="1"/>
  <c r="M14" i="4"/>
  <c r="M10" i="4"/>
  <c r="M12" i="4"/>
  <c r="M9" i="4"/>
  <c r="T25" i="3"/>
  <c r="S25" i="3"/>
  <c r="U24" i="3"/>
  <c r="U23" i="3"/>
  <c r="U22" i="3"/>
  <c r="U21" i="3"/>
  <c r="U20" i="3"/>
  <c r="U19" i="3"/>
  <c r="T26" i="3"/>
  <c r="S26" i="3"/>
  <c r="W26" i="2"/>
  <c r="W27" i="2" s="1"/>
  <c r="Y30" i="2" s="1"/>
  <c r="O12" i="4" l="1"/>
  <c r="Q12" i="4" s="1"/>
  <c r="K15" i="4"/>
  <c r="O14" i="4"/>
  <c r="Q14" i="4" s="1"/>
  <c r="O13" i="4"/>
  <c r="Q13" i="4" s="1"/>
  <c r="O10" i="4"/>
  <c r="Q10" i="4" s="1"/>
  <c r="O9" i="4"/>
  <c r="Y31" i="2"/>
  <c r="Y39" i="2" s="1"/>
  <c r="U25" i="3"/>
  <c r="U18" i="3"/>
  <c r="M8" i="4" l="1"/>
  <c r="M15" i="4" s="1"/>
  <c r="N15" i="4"/>
  <c r="L15" i="4"/>
  <c r="Q9" i="4"/>
  <c r="U26" i="3"/>
  <c r="O8" i="4" l="1"/>
  <c r="O15" i="4" s="1"/>
  <c r="Q8" i="4" l="1"/>
  <c r="Q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6" authorId="0" shapeId="0" xr:uid="{EB3C1855-B872-4579-8DE2-933D4FD1B325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Si modificas los dias trabajados se altera el sueldo devengado, 
Puedes usarlo para aquellos empleados que han tenido faltas o que han tenido incapacidad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5" authorId="0" shapeId="0" xr:uid="{27A7E83F-F13C-48B8-B5AD-C8616B89170A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Si modificas los dias trabajados se altera el sueldo devengado, 
Puedes usarlo para aquellos empleados que han tenido faltas o que han tenido incapacidad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5" authorId="0" shapeId="0" xr:uid="{F73373EE-8F25-4B49-9D92-B3B1BD3F8235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Si modificas los dias trabajados se altera el sueldo devengado, 
Puedes usarlo para aquellos empleados que han tenido faltas o que han tenido incapacidad </t>
        </r>
      </text>
    </comment>
  </commentList>
</comments>
</file>

<file path=xl/sharedStrings.xml><?xml version="1.0" encoding="utf-8"?>
<sst xmlns="http://schemas.openxmlformats.org/spreadsheetml/2006/main" count="230" uniqueCount="157">
  <si>
    <t>Nº de planilla</t>
  </si>
  <si>
    <t>PLANILLA DE PAGO DE COTIZACIONES PROVISIONALES</t>
  </si>
  <si>
    <t>AMAX 000 3537991</t>
  </si>
  <si>
    <t>DÓLARES</t>
  </si>
  <si>
    <t>$</t>
  </si>
  <si>
    <t>COLONES</t>
  </si>
  <si>
    <t>Ë</t>
  </si>
  <si>
    <t>I DATOS GENERALES</t>
  </si>
  <si>
    <t>(1) Período de Devengue</t>
  </si>
  <si>
    <t>Uso de la planilla</t>
  </si>
  <si>
    <t xml:space="preserve">Año                              Mes      </t>
  </si>
  <si>
    <t>Declaración y Pago</t>
  </si>
  <si>
    <t>Declaración y no pago</t>
  </si>
  <si>
    <t>Identificación NIT</t>
  </si>
  <si>
    <t>Nombre o razón social</t>
  </si>
  <si>
    <t>Declaración y Pago Complementario</t>
  </si>
  <si>
    <t>Nombre del centro de trabajo</t>
  </si>
  <si>
    <t>Número de trabajadores</t>
  </si>
  <si>
    <t>Página ________________           De______________</t>
  </si>
  <si>
    <t>Formulario Solamente</t>
  </si>
  <si>
    <t>Listado Impreso</t>
  </si>
  <si>
    <t>Teléfono/ Fax</t>
  </si>
  <si>
    <t>Dirección</t>
  </si>
  <si>
    <t>Medio Magnético</t>
  </si>
  <si>
    <t>Municipio/ Ciudad</t>
  </si>
  <si>
    <t>Departamento</t>
  </si>
  <si>
    <t>Banco del empleador</t>
  </si>
  <si>
    <t>Tipo de cuenta nº</t>
  </si>
  <si>
    <t>Nº</t>
  </si>
  <si>
    <t>II AUTOLIQUIDACIÓN</t>
  </si>
  <si>
    <t>(14) N.U.P.</t>
  </si>
  <si>
    <t>Identificación</t>
  </si>
  <si>
    <t>(17) Nombre del afiliado</t>
  </si>
  <si>
    <t>Código de Observación</t>
  </si>
  <si>
    <t>Hrs Jor.</t>
  </si>
  <si>
    <t>Días Cot.</t>
  </si>
  <si>
    <t>Ingreso Base Cotización</t>
  </si>
  <si>
    <t>Cotización Voluntaria Afiliado</t>
  </si>
  <si>
    <t>Cotización Voluntaria Empleador</t>
  </si>
  <si>
    <t>Comisiones</t>
  </si>
  <si>
    <t>Tipo</t>
  </si>
  <si>
    <t>Número</t>
  </si>
  <si>
    <t>1º Apellido</t>
  </si>
  <si>
    <t>2º Apellido</t>
  </si>
  <si>
    <t>3º Apellido Casada</t>
  </si>
  <si>
    <t>1º Nombre</t>
  </si>
  <si>
    <t>2º Nombre</t>
  </si>
  <si>
    <t>Nota: Señor empleador, si su número de trabajadores es mayor a 10 adjunte las hojas adicionales necesarias</t>
  </si>
  <si>
    <t>Número de empleados declarados</t>
  </si>
  <si>
    <t>TOTAL IBC (SUMATORIA COLUMNA 21)</t>
  </si>
  <si>
    <t>TOTAL COTIZACIONES OBLIGATORIAS</t>
  </si>
  <si>
    <t>TOTAL COTIZ. VOL. AFIL (SUMATORIA COLUMNA 22)</t>
  </si>
  <si>
    <t>TOTAL COTIZ. VOL. EMPL (SUMATORIA COLUMNA 23)</t>
  </si>
  <si>
    <t>Sello AFP                                 (solamente si se paga después de la fecha límite de pago)</t>
  </si>
  <si>
    <t xml:space="preserve">SUBTOTAL COTIZACIONES (SUMA DE LOS NUMERALES 27, 28, 29) </t>
  </si>
  <si>
    <t>TOTAL COMISIONES AFP (SUMATORIA COLUMNA 24)</t>
  </si>
  <si>
    <t>PAGO MORA (USO EXCLUSIVO AFP, PAGOS ATRASADOS)</t>
  </si>
  <si>
    <t>RENTABILIDAD DEJADA DE PERCIBIR</t>
  </si>
  <si>
    <t>RECARGO DE MORA COTIZACIONES</t>
  </si>
  <si>
    <t>SUBTOTAL (SUMA DE LOS NUMERALES 32+33+34)</t>
  </si>
  <si>
    <t>TOTAL A PAGAR (SUMA DE LOS NUMERALES 30 + 31 + 35)</t>
  </si>
  <si>
    <t>INSTITUTO SALVADOREÑO DEL SEGURO SOCIAL</t>
  </si>
  <si>
    <t>PLANILLA PREELABORADA PARA EL PAGO MENSUAL DE COTIZACIONES CON FACURACIÓN DIRECTA</t>
  </si>
  <si>
    <t>REGIMEN DE SALUD</t>
  </si>
  <si>
    <t>1. Nombre del patrono.</t>
  </si>
  <si>
    <t>2. Fecha de emisión</t>
  </si>
  <si>
    <t>3. Ruta</t>
  </si>
  <si>
    <t>4. Número Patronal</t>
  </si>
  <si>
    <t>5. Corr. Planilla</t>
  </si>
  <si>
    <t>6. Hoja</t>
  </si>
  <si>
    <t>7. Dirección del patrono</t>
  </si>
  <si>
    <t>8. Departamento y Municipio</t>
  </si>
  <si>
    <t>9. Teléfonos</t>
  </si>
  <si>
    <t>10. Nombre del centro de trabajo</t>
  </si>
  <si>
    <t>11. NIT</t>
  </si>
  <si>
    <t>12. I.V.A.</t>
  </si>
  <si>
    <t>13. Actividad económica</t>
  </si>
  <si>
    <t>14. Período de pago</t>
  </si>
  <si>
    <t>15. Dirección del centro de trabajo</t>
  </si>
  <si>
    <t>16. Departamento y Municipio</t>
  </si>
  <si>
    <t>17. Teléfonos</t>
  </si>
  <si>
    <t>18. Corr.</t>
  </si>
  <si>
    <t>19. T.D.</t>
  </si>
  <si>
    <t>20. Número de afiliación o documento de identidad</t>
  </si>
  <si>
    <t>21. Nombre según tarjeta de afiliación</t>
  </si>
  <si>
    <t xml:space="preserve">Señor patrono anotar los cambios para el mes de: </t>
  </si>
  <si>
    <t xml:space="preserve">COTIZACIONES CORRESPONDIENTES AL MES: </t>
  </si>
  <si>
    <t>22. Salario Devengado</t>
  </si>
  <si>
    <t>23. HRS.     JOR.</t>
  </si>
  <si>
    <t>24. DIA REM.</t>
  </si>
  <si>
    <t>25. DIAS VACACION</t>
  </si>
  <si>
    <t>26. CO OBS</t>
  </si>
  <si>
    <t>27. Salario Devengado</t>
  </si>
  <si>
    <t>28. HRS JOR.</t>
  </si>
  <si>
    <t>29. DIA REM.</t>
  </si>
  <si>
    <t>30. DIAS VACACION</t>
  </si>
  <si>
    <t>31. CO OBS</t>
  </si>
  <si>
    <t>32.APORTE LABORAL</t>
  </si>
  <si>
    <t>33. APORTE PATRONAL</t>
  </si>
  <si>
    <t>34. TOTAL APORTE</t>
  </si>
  <si>
    <t>TOTAL DE APORTACIONES (O PASAN)</t>
  </si>
  <si>
    <t>Firma y sello del patrono</t>
  </si>
  <si>
    <t>AFP</t>
  </si>
  <si>
    <r>
      <t xml:space="preserve">Tabla de Retenciones, Mensual, Quincenal, Semanal
</t>
    </r>
    <r>
      <rPr>
        <sz val="11"/>
        <color theme="1"/>
        <rFont val="Calibri"/>
        <family val="2"/>
        <scheme val="minor"/>
      </rPr>
      <t>Decreto Ejecutivo 95 y Artículo 37 Ley del Impuesto sobre la Renta</t>
    </r>
    <r>
      <rPr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(No modificar a menos que el MH cambie la tabla)</t>
    </r>
  </si>
  <si>
    <t xml:space="preserve">Tipo                </t>
  </si>
  <si>
    <t xml:space="preserve">Desde </t>
  </si>
  <si>
    <t xml:space="preserve">Hasta </t>
  </si>
  <si>
    <t xml:space="preserve">Cuota Fija </t>
  </si>
  <si>
    <t>% a Aplicar</t>
  </si>
  <si>
    <t>Sobre  el exceso:</t>
  </si>
  <si>
    <t>SEMANAL</t>
  </si>
  <si>
    <t>QUINCENAL</t>
  </si>
  <si>
    <t>MENSUAL</t>
  </si>
  <si>
    <t xml:space="preserve">mensual </t>
  </si>
  <si>
    <t xml:space="preserve">urbana </t>
  </si>
  <si>
    <t xml:space="preserve">el comercio </t>
  </si>
  <si>
    <t xml:space="preserve">Alas Marlon Figueroa </t>
  </si>
  <si>
    <t xml:space="preserve">Mendez Juan  Adalberto </t>
  </si>
  <si>
    <t>Lopez Monge Julio Carlos</t>
  </si>
  <si>
    <t xml:space="preserve">Menjivar Rauda Meybel Elizabeth </t>
  </si>
  <si>
    <t>Monge Rivera Alexander Pedro</t>
  </si>
  <si>
    <t>Ceren Sanchez Clavel Rosa</t>
  </si>
  <si>
    <t>Sanchez Marina de Guerra</t>
  </si>
  <si>
    <t>Porcentajes de Retencion</t>
  </si>
  <si>
    <t>ISSS</t>
  </si>
  <si>
    <t xml:space="preserve">EMPRESA EL MANGUITO, S.A. DE C.V. </t>
  </si>
  <si>
    <t>#</t>
  </si>
  <si>
    <t xml:space="preserve">TOTAL </t>
  </si>
  <si>
    <t xml:space="preserve">Nombres </t>
  </si>
  <si>
    <t xml:space="preserve">Dias </t>
  </si>
  <si>
    <t xml:space="preserve">Comisiones </t>
  </si>
  <si>
    <t>Horas 
Extras 
Diurnas</t>
  </si>
  <si>
    <t>Horas 
Extras 
Nocturnas</t>
  </si>
  <si>
    <t xml:space="preserve">Total 
Horas Extras </t>
  </si>
  <si>
    <t xml:space="preserve">Sub Total </t>
  </si>
  <si>
    <t xml:space="preserve">Retenciones </t>
  </si>
  <si>
    <t>RENTA</t>
  </si>
  <si>
    <t>Firma</t>
  </si>
  <si>
    <t>Liquido 
a pagar</t>
  </si>
  <si>
    <t>Otras 
Deducciones</t>
  </si>
  <si>
    <t xml:space="preserve">Sueldo Base 
Mensual </t>
  </si>
  <si>
    <t xml:space="preserve">Notas: </t>
  </si>
  <si>
    <r>
      <rPr>
        <sz val="20"/>
        <color theme="1"/>
        <rFont val="Calibri"/>
        <family val="2"/>
        <scheme val="minor"/>
      </rPr>
      <t xml:space="preserve">PLANILLA DE SUELDO </t>
    </r>
    <r>
      <rPr>
        <b/>
        <sz val="20"/>
        <color theme="1"/>
        <rFont val="Calibri"/>
        <family val="2"/>
        <scheme val="minor"/>
      </rPr>
      <t>SEMANAL</t>
    </r>
  </si>
  <si>
    <r>
      <rPr>
        <sz val="20"/>
        <color theme="1"/>
        <rFont val="Calibri"/>
        <family val="2"/>
        <scheme val="minor"/>
      </rPr>
      <t xml:space="preserve">PLANILLA DE SUELDO </t>
    </r>
    <r>
      <rPr>
        <b/>
        <sz val="20"/>
        <color theme="1"/>
        <rFont val="Calibri"/>
        <family val="2"/>
        <scheme val="minor"/>
      </rPr>
      <t xml:space="preserve">QUINCENAL </t>
    </r>
  </si>
  <si>
    <r>
      <rPr>
        <sz val="20"/>
        <color theme="1"/>
        <rFont val="Calibri"/>
        <family val="2"/>
        <scheme val="minor"/>
      </rPr>
      <t xml:space="preserve">PLANILLA DE SUELDO </t>
    </r>
    <r>
      <rPr>
        <b/>
        <sz val="20"/>
        <color theme="1"/>
        <rFont val="Calibri"/>
        <family val="2"/>
        <scheme val="minor"/>
      </rPr>
      <t xml:space="preserve">MENSUAL </t>
    </r>
  </si>
  <si>
    <t>Nota: si detectas algún error en la plantilla o tienes dudas sobre su cálculo te estaré muy agradecido de hacermelo saber al siguiente correo: ventas@tiservicios.net</t>
  </si>
  <si>
    <t xml:space="preserve">Para mas herramientas, visitanos en: </t>
  </si>
  <si>
    <t>https://www.contaportable.com/</t>
  </si>
  <si>
    <t>www.facebook.com/contaportable</t>
  </si>
  <si>
    <r>
      <t xml:space="preserve">Si deseas un software para planilla, solicita nuestra version gratuita en 
</t>
    </r>
    <r>
      <rPr>
        <b/>
        <sz val="11"/>
        <color theme="1"/>
        <rFont val="Calibri"/>
        <family val="2"/>
        <scheme val="minor"/>
      </rPr>
      <t>www.contaportable.com</t>
    </r>
  </si>
  <si>
    <r>
      <t xml:space="preserve">
*No Modifiques las formulas
*Esta planilla se calcula en base a la tabla de renta </t>
    </r>
    <r>
      <rPr>
        <b/>
        <sz val="11"/>
        <color theme="1"/>
        <rFont val="Calibri"/>
        <family val="2"/>
        <scheme val="minor"/>
      </rPr>
      <t xml:space="preserve">mensual </t>
    </r>
    <r>
      <rPr>
        <sz val="11"/>
        <color theme="1"/>
        <rFont val="Calibri"/>
        <family val="2"/>
        <scheme val="minor"/>
      </rPr>
      <t xml:space="preserve">
*El sueldo se calcula en base a los dias trabajados 
</t>
    </r>
  </si>
  <si>
    <r>
      <t xml:space="preserve">
*No Modifiques las formulas
*Esta planilla se calcula en base a la tabla de renta </t>
    </r>
    <r>
      <rPr>
        <b/>
        <sz val="11"/>
        <color theme="1"/>
        <rFont val="Calibri"/>
        <family val="2"/>
        <scheme val="minor"/>
      </rPr>
      <t>quincenal</t>
    </r>
    <r>
      <rPr>
        <sz val="11"/>
        <color theme="1"/>
        <rFont val="Calibri"/>
        <family val="2"/>
        <scheme val="minor"/>
      </rPr>
      <t xml:space="preserve">
*El sueldo se calcula en base a los dias trabajados 
</t>
    </r>
  </si>
  <si>
    <r>
      <t xml:space="preserve">
*No Modifiques las formulas
*Esta planilla se calcula en base a la tabla de renta </t>
    </r>
    <r>
      <rPr>
        <b/>
        <sz val="11"/>
        <color theme="1"/>
        <rFont val="Calibri"/>
        <family val="2"/>
        <scheme val="minor"/>
      </rPr>
      <t xml:space="preserve">semanal </t>
    </r>
    <r>
      <rPr>
        <sz val="11"/>
        <color theme="1"/>
        <rFont val="Calibri"/>
        <family val="2"/>
        <scheme val="minor"/>
      </rPr>
      <t xml:space="preserve">
*El sueldo se calcula en base a los dias trabajados 
</t>
    </r>
  </si>
  <si>
    <t>Empresa el Manguito, S.A. De C.V.</t>
  </si>
  <si>
    <t>9930-0</t>
  </si>
  <si>
    <t>9999-999999-999-9</t>
  </si>
  <si>
    <t xml:space="preserve">San Salvador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</si>
</sst>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[$$-440A]* #,##0.00_-;\-[$$-440A]* #,##0.00_-;_-[$$-440A]* &quot;-&quot;??_-;_-@_-"/>
    <numFmt numFmtId="166" formatCode="_([$$-440A]* #,##0.00_);_([$$-440A]* \(#,##0.00\);_([$$-440A]* &quot;-&quot;??_);_(@_)"/>
  </numFmts>
  <fonts count="3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indexed="9"/>
      <name val="Arial"/>
      <family val="2"/>
    </font>
    <font>
      <sz val="6"/>
      <name val="Arial"/>
      <family val="2"/>
    </font>
    <font>
      <b/>
      <sz val="2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9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u/>
      <sz val="22"/>
      <color theme="10"/>
      <name val="Calibri"/>
      <family val="2"/>
    </font>
    <font>
      <u/>
      <sz val="24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8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20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5" fillId="2" borderId="0" xfId="0" applyFont="1" applyFill="1"/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2" xfId="0" applyFill="1" applyBorder="1"/>
    <xf numFmtId="0" fontId="0" fillId="2" borderId="11" xfId="0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/>
    </xf>
    <xf numFmtId="2" fontId="0" fillId="2" borderId="1" xfId="0" applyNumberFormat="1" applyFill="1" applyBorder="1"/>
    <xf numFmtId="0" fontId="0" fillId="3" borderId="0" xfId="0" applyFill="1"/>
    <xf numFmtId="0" fontId="0" fillId="2" borderId="5" xfId="0" applyFill="1" applyBorder="1"/>
    <xf numFmtId="0" fontId="4" fillId="2" borderId="0" xfId="0" applyNumberFormat="1" applyFont="1" applyFill="1" applyAlignment="1">
      <alignment vertical="center" wrapText="1"/>
    </xf>
    <xf numFmtId="0" fontId="0" fillId="2" borderId="13" xfId="0" applyFill="1" applyBorder="1"/>
    <xf numFmtId="0" fontId="9" fillId="2" borderId="0" xfId="0" applyFont="1" applyFill="1" applyAlignment="1">
      <alignment vertical="center"/>
    </xf>
    <xf numFmtId="0" fontId="11" fillId="2" borderId="0" xfId="0" applyFont="1" applyFill="1" applyAlignment="1"/>
    <xf numFmtId="0" fontId="0" fillId="2" borderId="10" xfId="0" applyFill="1" applyBorder="1"/>
    <xf numFmtId="0" fontId="0" fillId="2" borderId="0" xfId="0" applyFill="1" applyAlignment="1"/>
    <xf numFmtId="0" fontId="0" fillId="2" borderId="1" xfId="0" applyFill="1" applyBorder="1" applyAlignment="1"/>
    <xf numFmtId="0" fontId="0" fillId="2" borderId="7" xfId="0" applyFill="1" applyBorder="1" applyAlignment="1"/>
    <xf numFmtId="0" fontId="0" fillId="2" borderId="0" xfId="0" applyFill="1" applyBorder="1" applyAlignment="1"/>
    <xf numFmtId="0" fontId="13" fillId="2" borderId="1" xfId="0" applyFont="1" applyFill="1" applyBorder="1" applyAlignment="1"/>
    <xf numFmtId="0" fontId="13" fillId="2" borderId="10" xfId="0" applyFont="1" applyFill="1" applyBorder="1" applyAlignment="1"/>
    <xf numFmtId="0" fontId="13" fillId="2" borderId="11" xfId="0" applyFont="1" applyFill="1" applyBorder="1" applyAlignment="1"/>
    <xf numFmtId="0" fontId="13" fillId="2" borderId="0" xfId="0" applyFont="1" applyFill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/>
    <xf numFmtId="0" fontId="17" fillId="5" borderId="0" xfId="0" applyFont="1" applyFill="1"/>
    <xf numFmtId="0" fontId="0" fillId="6" borderId="0" xfId="0" applyFill="1"/>
    <xf numFmtId="0" fontId="0" fillId="7" borderId="0" xfId="0" applyFill="1"/>
    <xf numFmtId="0" fontId="0" fillId="4" borderId="0" xfId="0" applyFill="1"/>
    <xf numFmtId="165" fontId="17" fillId="5" borderId="0" xfId="1" applyNumberFormat="1" applyFont="1" applyFill="1"/>
    <xf numFmtId="165" fontId="0" fillId="6" borderId="0" xfId="1" applyNumberFormat="1" applyFont="1" applyFill="1"/>
    <xf numFmtId="165" fontId="0" fillId="7" borderId="0" xfId="1" applyNumberFormat="1" applyFont="1" applyFill="1"/>
    <xf numFmtId="165" fontId="0" fillId="2" borderId="1" xfId="0" applyNumberFormat="1" applyFill="1" applyBorder="1"/>
    <xf numFmtId="0" fontId="19" fillId="4" borderId="1" xfId="0" applyFont="1" applyFill="1" applyBorder="1"/>
    <xf numFmtId="10" fontId="20" fillId="4" borderId="1" xfId="2" applyNumberFormat="1" applyFont="1" applyFill="1" applyBorder="1"/>
    <xf numFmtId="165" fontId="0" fillId="0" borderId="0" xfId="0" applyNumberFormat="1"/>
    <xf numFmtId="16" fontId="0" fillId="0" borderId="0" xfId="0" applyNumberFormat="1"/>
    <xf numFmtId="0" fontId="21" fillId="9" borderId="1" xfId="0" applyFont="1" applyFill="1" applyBorder="1"/>
    <xf numFmtId="165" fontId="22" fillId="9" borderId="0" xfId="0" applyNumberFormat="1" applyFont="1" applyFill="1"/>
    <xf numFmtId="0" fontId="22" fillId="9" borderId="0" xfId="0" applyFont="1" applyFill="1"/>
    <xf numFmtId="0" fontId="23" fillId="0" borderId="0" xfId="0" applyFont="1" applyFill="1"/>
    <xf numFmtId="165" fontId="0" fillId="10" borderId="1" xfId="0" applyNumberFormat="1" applyFill="1" applyBorder="1"/>
    <xf numFmtId="2" fontId="0" fillId="10" borderId="1" xfId="0" applyNumberFormat="1" applyFill="1" applyBorder="1"/>
    <xf numFmtId="0" fontId="26" fillId="0" borderId="0" xfId="0" applyFont="1"/>
    <xf numFmtId="0" fontId="22" fillId="9" borderId="6" xfId="0" applyFont="1" applyFill="1" applyBorder="1" applyAlignment="1">
      <alignment horizontal="right"/>
    </xf>
    <xf numFmtId="0" fontId="21" fillId="9" borderId="1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/>
    </xf>
    <xf numFmtId="0" fontId="24" fillId="9" borderId="6" xfId="0" applyFont="1" applyFill="1" applyBorder="1" applyAlignment="1">
      <alignment horizontal="center"/>
    </xf>
    <xf numFmtId="0" fontId="24" fillId="9" borderId="4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center"/>
    </xf>
    <xf numFmtId="0" fontId="24" fillId="9" borderId="2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1" fillId="9" borderId="14" xfId="0" applyFont="1" applyFill="1" applyBorder="1" applyAlignment="1">
      <alignment horizontal="center"/>
    </xf>
    <xf numFmtId="0" fontId="21" fillId="9" borderId="12" xfId="0" applyFont="1" applyFill="1" applyBorder="1" applyAlignment="1">
      <alignment horizontal="center"/>
    </xf>
    <xf numFmtId="0" fontId="21" fillId="9" borderId="14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8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distributed" wrapText="1"/>
    </xf>
    <xf numFmtId="0" fontId="0" fillId="2" borderId="12" xfId="0" applyFill="1" applyBorder="1" applyAlignment="1">
      <alignment horizontal="left" vertic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1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7" fillId="2" borderId="1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right" vertical="top"/>
    </xf>
    <xf numFmtId="0" fontId="0" fillId="2" borderId="2" xfId="0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2" fontId="0" fillId="2" borderId="7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center" wrapText="1"/>
    </xf>
    <xf numFmtId="0" fontId="18" fillId="8" borderId="2" xfId="3" applyFont="1" applyBorder="1" applyAlignment="1">
      <alignment horizontal="center"/>
    </xf>
    <xf numFmtId="166" fontId="0" fillId="0" borderId="1" xfId="1" applyNumberFormat="1" applyFont="1" applyBorder="1"/>
    <xf numFmtId="166" fontId="0" fillId="0" borderId="1" xfId="0" applyNumberFormat="1" applyBorder="1"/>
    <xf numFmtId="166" fontId="0" fillId="0" borderId="0" xfId="0" applyNumberFormat="1"/>
    <xf numFmtId="0" fontId="33" fillId="4" borderId="18" xfId="0" applyFont="1" applyFill="1" applyBorder="1" applyAlignment="1">
      <alignment horizontal="center" wrapText="1"/>
    </xf>
    <xf numFmtId="0" fontId="33" fillId="4" borderId="19" xfId="0" applyFont="1" applyFill="1" applyBorder="1" applyAlignment="1">
      <alignment horizontal="center" wrapText="1"/>
    </xf>
    <xf numFmtId="0" fontId="33" fillId="4" borderId="20" xfId="0" applyFont="1" applyFill="1" applyBorder="1" applyAlignment="1">
      <alignment horizontal="center" wrapText="1"/>
    </xf>
    <xf numFmtId="0" fontId="33" fillId="4" borderId="21" xfId="0" applyFont="1" applyFill="1" applyBorder="1" applyAlignment="1">
      <alignment horizontal="center" wrapText="1"/>
    </xf>
    <xf numFmtId="0" fontId="33" fillId="4" borderId="0" xfId="0" applyFont="1" applyFill="1" applyBorder="1" applyAlignment="1">
      <alignment horizontal="center" wrapText="1"/>
    </xf>
    <xf numFmtId="0" fontId="33" fillId="4" borderId="22" xfId="0" applyFont="1" applyFill="1" applyBorder="1" applyAlignment="1">
      <alignment horizontal="center" wrapText="1"/>
    </xf>
    <xf numFmtId="0" fontId="19" fillId="4" borderId="21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32" fillId="4" borderId="23" xfId="4" applyFont="1" applyFill="1" applyBorder="1" applyAlignment="1" applyProtection="1">
      <alignment horizontal="center"/>
    </xf>
    <xf numFmtId="0" fontId="32" fillId="4" borderId="24" xfId="4" applyFont="1" applyFill="1" applyBorder="1" applyAlignment="1" applyProtection="1">
      <alignment horizontal="center"/>
    </xf>
    <xf numFmtId="0" fontId="32" fillId="4" borderId="25" xfId="4" applyFont="1" applyFill="1" applyBorder="1" applyAlignment="1" applyProtection="1">
      <alignment horizontal="center"/>
    </xf>
    <xf numFmtId="0" fontId="29" fillId="10" borderId="26" xfId="0" applyFont="1" applyFill="1" applyBorder="1"/>
    <xf numFmtId="0" fontId="0" fillId="10" borderId="23" xfId="0" applyFill="1" applyBorder="1" applyAlignment="1">
      <alignment horizontal="left" wrapText="1"/>
    </xf>
    <xf numFmtId="0" fontId="0" fillId="10" borderId="24" xfId="0" applyFill="1" applyBorder="1" applyAlignment="1">
      <alignment horizontal="left" wrapText="1"/>
    </xf>
    <xf numFmtId="0" fontId="0" fillId="10" borderId="25" xfId="0" applyFill="1" applyBorder="1" applyAlignment="1">
      <alignment horizontal="left" wrapText="1"/>
    </xf>
    <xf numFmtId="0" fontId="0" fillId="10" borderId="21" xfId="0" applyFill="1" applyBorder="1" applyAlignment="1">
      <alignment horizontal="left" wrapText="1"/>
    </xf>
    <xf numFmtId="0" fontId="0" fillId="10" borderId="0" xfId="0" applyFill="1" applyBorder="1" applyAlignment="1">
      <alignment horizontal="left" wrapText="1"/>
    </xf>
    <xf numFmtId="0" fontId="0" fillId="10" borderId="22" xfId="0" applyFill="1" applyBorder="1" applyAlignment="1">
      <alignment horizontal="left" wrapText="1"/>
    </xf>
    <xf numFmtId="0" fontId="34" fillId="11" borderId="18" xfId="0" applyFont="1" applyFill="1" applyBorder="1"/>
    <xf numFmtId="0" fontId="34" fillId="11" borderId="21" xfId="0" applyFont="1" applyFill="1" applyBorder="1"/>
    <xf numFmtId="0" fontId="34" fillId="11" borderId="23" xfId="0" applyFont="1" applyFill="1" applyBorder="1"/>
    <xf numFmtId="0" fontId="0" fillId="11" borderId="19" xfId="0" applyFill="1" applyBorder="1"/>
    <xf numFmtId="0" fontId="0" fillId="11" borderId="20" xfId="0" applyFill="1" applyBorder="1"/>
    <xf numFmtId="0" fontId="0" fillId="11" borderId="23" xfId="0" applyFill="1" applyBorder="1"/>
    <xf numFmtId="0" fontId="0" fillId="11" borderId="24" xfId="0" applyFill="1" applyBorder="1"/>
    <xf numFmtId="0" fontId="0" fillId="11" borderId="22" xfId="0" applyFill="1" applyBorder="1"/>
    <xf numFmtId="0" fontId="0" fillId="11" borderId="25" xfId="0" applyFill="1" applyBorder="1"/>
    <xf numFmtId="0" fontId="0" fillId="11" borderId="19" xfId="0" applyFill="1" applyBorder="1" applyAlignment="1">
      <alignment horizontal="center" wrapText="1"/>
    </xf>
    <xf numFmtId="0" fontId="0" fillId="11" borderId="0" xfId="0" applyFill="1" applyBorder="1" applyAlignment="1">
      <alignment horizontal="center" wrapText="1"/>
    </xf>
    <xf numFmtId="0" fontId="35" fillId="4" borderId="21" xfId="4" applyFont="1" applyFill="1" applyBorder="1" applyAlignment="1" applyProtection="1">
      <alignment horizontal="center"/>
    </xf>
    <xf numFmtId="0" fontId="35" fillId="4" borderId="0" xfId="4" applyFont="1" applyFill="1" applyBorder="1" applyAlignment="1" applyProtection="1">
      <alignment horizontal="center"/>
    </xf>
    <xf numFmtId="0" fontId="35" fillId="4" borderId="22" xfId="4" applyFont="1" applyFill="1" applyBorder="1" applyAlignment="1" applyProtection="1">
      <alignment horizontal="center"/>
    </xf>
    <xf numFmtId="0" fontId="36" fillId="4" borderId="21" xfId="4" applyFont="1" applyFill="1" applyBorder="1" applyAlignment="1" applyProtection="1">
      <alignment horizontal="center"/>
    </xf>
    <xf numFmtId="0" fontId="36" fillId="4" borderId="0" xfId="4" applyFont="1" applyFill="1" applyBorder="1" applyAlignment="1" applyProtection="1">
      <alignment horizontal="center"/>
    </xf>
    <xf numFmtId="0" fontId="36" fillId="4" borderId="22" xfId="4" applyFont="1" applyFill="1" applyBorder="1" applyAlignment="1" applyProtection="1">
      <alignment horizontal="center"/>
    </xf>
    <xf numFmtId="9" fontId="17" fillId="5" borderId="0" xfId="2" applyFont="1" applyFill="1"/>
    <xf numFmtId="9" fontId="0" fillId="6" borderId="0" xfId="2" applyFont="1" applyFill="1"/>
    <xf numFmtId="9" fontId="0" fillId="7" borderId="0" xfId="2" applyFont="1" applyFill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left"/>
    </xf>
  </cellXfs>
  <cellStyles count="5">
    <cellStyle name="Énfasis5" xfId="3" builtinId="45"/>
    <cellStyle name="Hipervínculo" xfId="4" builtinId="8"/>
    <cellStyle name="Moneda" xfId="1" builtinId="4"/>
    <cellStyle name="Normal" xfId="0" builtinId="0"/>
    <cellStyle name="Porcentaje" xfId="2" builtinId="5"/>
  </cellStyles>
  <dxfs count="4">
    <dxf>
      <numFmt numFmtId="165" formatCode="_-[$$-440A]* #,##0.00_-;\-[$$-440A]* #,##0.00_-;_-[$$-440A]* &quot;-&quot;??_-;_-@_-"/>
    </dxf>
    <dxf>
      <numFmt numFmtId="165" formatCode="_-[$$-440A]* #,##0.00_-;\-[$$-440A]* #,##0.00_-;_-[$$-440A]* &quot;-&quot;??_-;_-@_-"/>
    </dxf>
    <dxf>
      <numFmt numFmtId="165" formatCode="_-[$$-440A]* #,##0.00_-;\-[$$-440A]* #,##0.00_-;_-[$$-440A]* &quot;-&quot;??_-;_-@_-"/>
    </dxf>
    <dxf>
      <numFmt numFmtId="165" formatCode="_-[$$-440A]* #,##0.00_-;\-[$$-440A]* #,##0.00_-;_-[$$-440A]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104775</xdr:colOff>
      <xdr:row>4</xdr:row>
      <xdr:rowOff>95250</xdr:rowOff>
    </xdr:to>
    <xdr:pic>
      <xdr:nvPicPr>
        <xdr:cNvPr id="2" name="Picture 1" descr="Logo_ISS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819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6</xdr:row>
      <xdr:rowOff>114300</xdr:rowOff>
    </xdr:from>
    <xdr:to>
      <xdr:col>1</xdr:col>
      <xdr:colOff>704850</xdr:colOff>
      <xdr:row>7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52475" y="1123950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6</xdr:row>
      <xdr:rowOff>114300</xdr:rowOff>
    </xdr:from>
    <xdr:to>
      <xdr:col>1</xdr:col>
      <xdr:colOff>876300</xdr:colOff>
      <xdr:row>7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923925" y="1123950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876300</xdr:colOff>
      <xdr:row>6</xdr:row>
      <xdr:rowOff>114300</xdr:rowOff>
    </xdr:from>
    <xdr:to>
      <xdr:col>1</xdr:col>
      <xdr:colOff>1047750</xdr:colOff>
      <xdr:row>7</xdr:row>
      <xdr:rowOff>85725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095375" y="1123950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1047750</xdr:colOff>
      <xdr:row>6</xdr:row>
      <xdr:rowOff>114300</xdr:rowOff>
    </xdr:from>
    <xdr:to>
      <xdr:col>1</xdr:col>
      <xdr:colOff>1219200</xdr:colOff>
      <xdr:row>7</xdr:row>
      <xdr:rowOff>85725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266825" y="1123950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1895475</xdr:colOff>
      <xdr:row>6</xdr:row>
      <xdr:rowOff>123825</xdr:rowOff>
    </xdr:from>
    <xdr:to>
      <xdr:col>1</xdr:col>
      <xdr:colOff>2066925</xdr:colOff>
      <xdr:row>7</xdr:row>
      <xdr:rowOff>95250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2114550" y="1133475"/>
          <a:ext cx="104775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2066925</xdr:colOff>
      <xdr:row>6</xdr:row>
      <xdr:rowOff>123825</xdr:rowOff>
    </xdr:from>
    <xdr:to>
      <xdr:col>1</xdr:col>
      <xdr:colOff>2238375</xdr:colOff>
      <xdr:row>7</xdr:row>
      <xdr:rowOff>95250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219325" y="1133475"/>
          <a:ext cx="0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6</xdr:row>
      <xdr:rowOff>9525</xdr:rowOff>
    </xdr:from>
    <xdr:to>
      <xdr:col>2</xdr:col>
      <xdr:colOff>209550</xdr:colOff>
      <xdr:row>6</xdr:row>
      <xdr:rowOff>142875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2257425" y="1019175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209550</xdr:colOff>
      <xdr:row>7</xdr:row>
      <xdr:rowOff>133350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2257425" y="1171575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209550</xdr:colOff>
      <xdr:row>9</xdr:row>
      <xdr:rowOff>9525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2257425" y="1371600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209550</xdr:colOff>
      <xdr:row>9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2257425" y="1543050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6</xdr:row>
      <xdr:rowOff>28575</xdr:rowOff>
    </xdr:from>
    <xdr:to>
      <xdr:col>4</xdr:col>
      <xdr:colOff>247650</xdr:colOff>
      <xdr:row>7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4600575" y="1038225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8</xdr:row>
      <xdr:rowOff>57150</xdr:rowOff>
    </xdr:from>
    <xdr:to>
      <xdr:col>4</xdr:col>
      <xdr:colOff>257175</xdr:colOff>
      <xdr:row>9</xdr:row>
      <xdr:rowOff>28575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4610100" y="1390650"/>
          <a:ext cx="171450" cy="1333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0</xdr:row>
      <xdr:rowOff>114300</xdr:rowOff>
    </xdr:from>
    <xdr:to>
      <xdr:col>3</xdr:col>
      <xdr:colOff>447675</xdr:colOff>
      <xdr:row>2</xdr:row>
      <xdr:rowOff>114300</xdr:rowOff>
    </xdr:to>
    <xdr:pic>
      <xdr:nvPicPr>
        <xdr:cNvPr id="14" name="Picture 13" descr="lg_afp_crecer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4300"/>
          <a:ext cx="18764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3</xdr:row>
      <xdr:rowOff>114300</xdr:rowOff>
    </xdr:from>
    <xdr:to>
      <xdr:col>25</xdr:col>
      <xdr:colOff>152400</xdr:colOff>
      <xdr:row>5</xdr:row>
      <xdr:rowOff>38100</xdr:rowOff>
    </xdr:to>
    <xdr:pic>
      <xdr:nvPicPr>
        <xdr:cNvPr id="15" name="Picture 14" descr="25256920_c2e8661fd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638175"/>
          <a:ext cx="1676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a2" displayName="Tabla2" ref="E7:J19" totalsRowShown="0">
  <tableColumns count="6">
    <tableColumn id="1" xr3:uid="{00000000-0010-0000-0000-000001000000}" name="Tipo                "/>
    <tableColumn id="2" xr3:uid="{00000000-0010-0000-0000-000002000000}" name="Desde " dataDxfId="3" dataCellStyle="Moneda"/>
    <tableColumn id="3" xr3:uid="{00000000-0010-0000-0000-000003000000}" name="Hasta " dataDxfId="2" dataCellStyle="Moneda"/>
    <tableColumn id="4" xr3:uid="{00000000-0010-0000-0000-000004000000}" name="Cuota Fija " dataDxfId="1" dataCellStyle="Moneda"/>
    <tableColumn id="5" xr3:uid="{00000000-0010-0000-0000-000005000000}" name="% a Aplicar" dataCellStyle="Porcentaje"/>
    <tableColumn id="6" xr3:uid="{00000000-0010-0000-0000-000006000000}" name="Sobre  el exceso:" dataDxfId="0" dataCellStyle="Moneda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aportable.com/" TargetMode="External"/><Relationship Id="rId2" Type="http://schemas.openxmlformats.org/officeDocument/2006/relationships/hyperlink" Target="http://www.tiservicios.net/" TargetMode="External"/><Relationship Id="rId1" Type="http://schemas.openxmlformats.org/officeDocument/2006/relationships/hyperlink" Target="http://www.facebook.com/contaportabl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aportable.com/" TargetMode="External"/><Relationship Id="rId2" Type="http://schemas.openxmlformats.org/officeDocument/2006/relationships/hyperlink" Target="http://www.tiservicios.net/" TargetMode="External"/><Relationship Id="rId1" Type="http://schemas.openxmlformats.org/officeDocument/2006/relationships/hyperlink" Target="http://www.facebook.com/contaportable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aportable.com/" TargetMode="External"/><Relationship Id="rId2" Type="http://schemas.openxmlformats.org/officeDocument/2006/relationships/hyperlink" Target="http://www.tiservicios.net/" TargetMode="External"/><Relationship Id="rId1" Type="http://schemas.openxmlformats.org/officeDocument/2006/relationships/hyperlink" Target="http://www.facebook.com/contaportable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28"/>
  <sheetViews>
    <sheetView zoomScale="70" zoomScaleNormal="70" workbookViewId="0">
      <selection activeCell="A3" sqref="A3:M4"/>
    </sheetView>
  </sheetViews>
  <sheetFormatPr baseColWidth="10" defaultRowHeight="26.25" customHeight="1" x14ac:dyDescent="0.25"/>
  <cols>
    <col min="1" max="1" width="5.7109375" customWidth="1"/>
    <col min="6" max="6" width="17.42578125" customWidth="1"/>
    <col min="7" max="7" width="8.5703125" customWidth="1"/>
    <col min="8" max="11" width="15.140625" customWidth="1"/>
    <col min="12" max="12" width="17.140625" customWidth="1"/>
    <col min="13" max="14" width="15.85546875" bestFit="1" customWidth="1"/>
    <col min="15" max="15" width="14.85546875" customWidth="1"/>
    <col min="16" max="16" width="14" bestFit="1" customWidth="1"/>
    <col min="17" max="17" width="16.140625" customWidth="1"/>
    <col min="18" max="18" width="28.7109375" customWidth="1"/>
  </cols>
  <sheetData>
    <row r="3" spans="1:18" ht="26.25" customHeight="1" x14ac:dyDescent="0.4">
      <c r="A3" s="205" t="s">
        <v>125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8" ht="26.25" customHeight="1" x14ac:dyDescent="0.4">
      <c r="A4" s="206" t="s">
        <v>144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6" spans="1:18" ht="26.25" customHeight="1" x14ac:dyDescent="0.3">
      <c r="A6" s="66" t="s">
        <v>126</v>
      </c>
      <c r="B6" s="60" t="s">
        <v>128</v>
      </c>
      <c r="C6" s="61"/>
      <c r="D6" s="61"/>
      <c r="E6" s="62"/>
      <c r="F6" s="70" t="s">
        <v>140</v>
      </c>
      <c r="G6" s="59" t="s">
        <v>129</v>
      </c>
      <c r="H6" s="59" t="s">
        <v>130</v>
      </c>
      <c r="I6" s="70" t="s">
        <v>131</v>
      </c>
      <c r="J6" s="70" t="s">
        <v>132</v>
      </c>
      <c r="K6" s="70" t="s">
        <v>133</v>
      </c>
      <c r="L6" s="68" t="s">
        <v>134</v>
      </c>
      <c r="M6" s="71" t="s">
        <v>135</v>
      </c>
      <c r="N6" s="71"/>
      <c r="O6" s="71"/>
      <c r="P6" s="70" t="s">
        <v>139</v>
      </c>
      <c r="Q6" s="70" t="s">
        <v>138</v>
      </c>
      <c r="R6" s="59" t="s">
        <v>137</v>
      </c>
    </row>
    <row r="7" spans="1:18" ht="48.75" customHeight="1" x14ac:dyDescent="0.3">
      <c r="A7" s="67"/>
      <c r="B7" s="63"/>
      <c r="C7" s="64"/>
      <c r="D7" s="64"/>
      <c r="E7" s="65"/>
      <c r="F7" s="59"/>
      <c r="G7" s="59"/>
      <c r="H7" s="59"/>
      <c r="I7" s="59"/>
      <c r="J7" s="59"/>
      <c r="K7" s="70"/>
      <c r="L7" s="69"/>
      <c r="M7" s="51" t="s">
        <v>124</v>
      </c>
      <c r="N7" s="51" t="s">
        <v>102</v>
      </c>
      <c r="O7" s="51" t="s">
        <v>136</v>
      </c>
      <c r="P7" s="59"/>
      <c r="Q7" s="59"/>
      <c r="R7" s="59"/>
    </row>
    <row r="8" spans="1:18" ht="26.25" customHeight="1" x14ac:dyDescent="0.25">
      <c r="A8" s="37">
        <v>1</v>
      </c>
      <c r="B8" s="72" t="s">
        <v>116</v>
      </c>
      <c r="C8" s="72"/>
      <c r="D8" s="72"/>
      <c r="E8" s="72"/>
      <c r="F8" s="38">
        <v>300</v>
      </c>
      <c r="G8" s="37">
        <v>30</v>
      </c>
      <c r="H8" s="164">
        <v>150</v>
      </c>
      <c r="I8" s="164">
        <f>(F8/30/8)*10*200%</f>
        <v>25</v>
      </c>
      <c r="J8" s="164">
        <f>(F8/30/8)*12*250%</f>
        <v>37.5</v>
      </c>
      <c r="K8" s="55">
        <f>I8+J8</f>
        <v>62.5</v>
      </c>
      <c r="L8" s="55">
        <f>F8/30*G8+H8+K8</f>
        <v>512.5</v>
      </c>
      <c r="M8" s="55">
        <f t="shared" ref="M8" si="0">IF(L8&gt;=1000,1000*3%,L8*3%)</f>
        <v>15.375</v>
      </c>
      <c r="N8" s="56">
        <f>L8*7.25%</f>
        <v>37.15625</v>
      </c>
      <c r="O8" s="55">
        <f>IF((L8-M8-N8)&lt;='Tabla de Renta'!$G$16,0,IF((L8-M8-N8)&lt;='Tabla de Renta'!$G$17,((L8-M8-N8)-'Tabla de Renta'!$J$17)*'Tabla de Renta'!$I$17+'Tabla de Renta'!$H$17,IF((L8-M8-N8)&lt;='Tabla de Renta'!$G$18,((L8-M8-N8)-'Tabla de Renta'!$J$18)*'Tabla de Renta'!$I$18+'Tabla de Renta'!$H$18,((L8-M8-N8)-'Tabla de Renta'!$J$19)*'Tabla de Renta'!$I$19+'Tabla de Renta'!$H$19)))</f>
        <v>0</v>
      </c>
      <c r="P8" s="163"/>
      <c r="Q8" s="55">
        <f>L8-M8-N8-O8-P8</f>
        <v>459.96875</v>
      </c>
      <c r="R8" s="37"/>
    </row>
    <row r="9" spans="1:18" ht="26.25" customHeight="1" x14ac:dyDescent="0.25">
      <c r="A9" s="37">
        <v>2</v>
      </c>
      <c r="B9" s="72" t="s">
        <v>117</v>
      </c>
      <c r="C9" s="72"/>
      <c r="D9" s="72"/>
      <c r="E9" s="72"/>
      <c r="F9" s="38">
        <v>1125</v>
      </c>
      <c r="G9" s="37">
        <v>30</v>
      </c>
      <c r="H9" s="165"/>
      <c r="I9" s="164"/>
      <c r="J9" s="164"/>
      <c r="K9" s="55">
        <f t="shared" ref="K9:K14" si="1">I9+J9</f>
        <v>0</v>
      </c>
      <c r="L9" s="55">
        <f>F9/30*G9+H9+K9</f>
        <v>1125</v>
      </c>
      <c r="M9" s="55">
        <f>IF(L9&gt;=1000,1000*3%,L9*3%)</f>
        <v>30</v>
      </c>
      <c r="N9" s="56">
        <f t="shared" ref="N9:N14" si="2">L9*7.25%</f>
        <v>81.5625</v>
      </c>
      <c r="O9" s="55">
        <f>IF((L9-M9-N9)&lt;='Tabla de Renta'!$G$16,0,IF((L9-M9-N9)&lt;='Tabla de Renta'!$G$17,((L9-M9-N9)-'Tabla de Renta'!$J$17)*'Tabla de Renta'!$I$17+'Tabla de Renta'!$H$17,IF((L9-M9-N9)&lt;='Tabla de Renta'!$G$18,((L9-M9-N9)-'Tabla de Renta'!$J$18)*'Tabla de Renta'!$I$18+'Tabla de Renta'!$H$18,((L9-M9-N9)-'Tabla de Renta'!$J$19)*'Tabla de Renta'!$I$19+'Tabla de Renta'!$H$19)))</f>
        <v>83.639499999999998</v>
      </c>
      <c r="P9" s="163"/>
      <c r="Q9" s="55">
        <f t="shared" ref="Q9:Q14" si="3">L9-M9-N9-O9-P9</f>
        <v>929.798</v>
      </c>
      <c r="R9" s="37"/>
    </row>
    <row r="10" spans="1:18" ht="26.25" customHeight="1" x14ac:dyDescent="0.25">
      <c r="A10" s="37">
        <v>3</v>
      </c>
      <c r="B10" s="72" t="s">
        <v>118</v>
      </c>
      <c r="C10" s="72"/>
      <c r="D10" s="72"/>
      <c r="E10" s="72"/>
      <c r="F10" s="38">
        <v>700</v>
      </c>
      <c r="G10" s="37">
        <v>30</v>
      </c>
      <c r="H10" s="164">
        <v>300</v>
      </c>
      <c r="I10" s="164"/>
      <c r="J10" s="164"/>
      <c r="K10" s="55">
        <f t="shared" si="1"/>
        <v>0</v>
      </c>
      <c r="L10" s="55">
        <f>F10/30*G10+H10+K10</f>
        <v>1000</v>
      </c>
      <c r="M10" s="55">
        <f t="shared" ref="M10:M14" si="4">IF(L10&gt;=1000,1000*3%,L10*3%)</f>
        <v>30</v>
      </c>
      <c r="N10" s="56">
        <f t="shared" si="2"/>
        <v>72.5</v>
      </c>
      <c r="O10" s="55">
        <f>IF((L10-M10-N10)&lt;='Tabla de Renta'!$G$16,0,IF((L10-M10-N10)&lt;='Tabla de Renta'!$G$17,((L10-M10-N10)-'Tabla de Renta'!$J$17)*'Tabla de Renta'!$I$17+'Tabla de Renta'!$H$17,IF((L10-M10-N10)&lt;='Tabla de Renta'!$G$18,((L10-M10-N10)-'Tabla de Renta'!$J$18)*'Tabla de Renta'!$I$18+'Tabla de Renta'!$H$18,((L10-M10-N10)-'Tabla de Renta'!$J$19)*'Tabla de Renta'!$I$19+'Tabla de Renta'!$H$19)))</f>
        <v>60.451999999999998</v>
      </c>
      <c r="P10" s="163">
        <v>10</v>
      </c>
      <c r="Q10" s="55">
        <f t="shared" si="3"/>
        <v>827.048</v>
      </c>
      <c r="R10" s="37"/>
    </row>
    <row r="11" spans="1:18" ht="26.25" customHeight="1" x14ac:dyDescent="0.25">
      <c r="A11" s="37">
        <v>4</v>
      </c>
      <c r="B11" s="72" t="s">
        <v>119</v>
      </c>
      <c r="C11" s="72"/>
      <c r="D11" s="72"/>
      <c r="E11" s="72"/>
      <c r="F11" s="38">
        <v>1000</v>
      </c>
      <c r="G11" s="37">
        <v>30</v>
      </c>
      <c r="H11" s="164"/>
      <c r="I11" s="164"/>
      <c r="J11" s="164"/>
      <c r="K11" s="55">
        <f t="shared" si="1"/>
        <v>0</v>
      </c>
      <c r="L11" s="55">
        <f>F11/30*G11+H11+K11</f>
        <v>1000.0000000000001</v>
      </c>
      <c r="M11" s="55">
        <f t="shared" si="4"/>
        <v>30</v>
      </c>
      <c r="N11" s="56">
        <f t="shared" si="2"/>
        <v>72.5</v>
      </c>
      <c r="O11" s="55">
        <f>IF((L11-M11-N11)&lt;='Tabla de Renta'!$G$16,0,IF((L11-M11-N11)&lt;='Tabla de Renta'!$G$17,((L11-M11-N11)-'Tabla de Renta'!$J$17)*'Tabla de Renta'!$I$17+'Tabla de Renta'!$H$17,IF((L11-M11-N11)&lt;='Tabla de Renta'!$G$18,((L11-M11-N11)-'Tabla de Renta'!$J$18)*'Tabla de Renta'!$I$18+'Tabla de Renta'!$H$18,((L11-M11-N11)-'Tabla de Renta'!$J$19)*'Tabla de Renta'!$I$19+'Tabla de Renta'!$H$19)))</f>
        <v>60.452000000000019</v>
      </c>
      <c r="P11" s="163"/>
      <c r="Q11" s="55">
        <f t="shared" si="3"/>
        <v>837.04800000000012</v>
      </c>
      <c r="R11" s="37"/>
    </row>
    <row r="12" spans="1:18" ht="26.25" customHeight="1" x14ac:dyDescent="0.25">
      <c r="A12" s="37">
        <v>5</v>
      </c>
      <c r="B12" s="72" t="s">
        <v>120</v>
      </c>
      <c r="C12" s="72"/>
      <c r="D12" s="72"/>
      <c r="E12" s="72"/>
      <c r="F12" s="38">
        <v>450</v>
      </c>
      <c r="G12" s="37">
        <v>30</v>
      </c>
      <c r="H12" s="164"/>
      <c r="I12" s="164"/>
      <c r="J12" s="164"/>
      <c r="K12" s="55">
        <f t="shared" si="1"/>
        <v>0</v>
      </c>
      <c r="L12" s="55">
        <f t="shared" ref="L12:L14" si="5">F12/30*G12+H12+K12</f>
        <v>450</v>
      </c>
      <c r="M12" s="55">
        <f t="shared" si="4"/>
        <v>13.5</v>
      </c>
      <c r="N12" s="56">
        <f t="shared" si="2"/>
        <v>32.625</v>
      </c>
      <c r="O12" s="55">
        <f>IF((L12-M12-N12)&lt;='Tabla de Renta'!$G$16,0,IF((L12-M12-N12)&lt;='Tabla de Renta'!$G$17,((L12-M12-N12)-'Tabla de Renta'!$J$17)*'Tabla de Renta'!$I$17+'Tabla de Renta'!$H$17,IF((L12-M12-N12)&lt;='Tabla de Renta'!$G$18,((L12-M12-N12)-'Tabla de Renta'!$J$18)*'Tabla de Renta'!$I$18+'Tabla de Renta'!$H$18,((L12-M12-N12)-'Tabla de Renta'!$J$19)*'Tabla de Renta'!$I$19+'Tabla de Renta'!$H$19)))</f>
        <v>0</v>
      </c>
      <c r="P12" s="163"/>
      <c r="Q12" s="55">
        <f t="shared" si="3"/>
        <v>403.875</v>
      </c>
      <c r="R12" s="37"/>
    </row>
    <row r="13" spans="1:18" ht="26.25" customHeight="1" x14ac:dyDescent="0.25">
      <c r="A13" s="37">
        <v>6</v>
      </c>
      <c r="B13" s="72" t="s">
        <v>121</v>
      </c>
      <c r="C13" s="72"/>
      <c r="D13" s="72"/>
      <c r="E13" s="72"/>
      <c r="F13" s="38">
        <v>300</v>
      </c>
      <c r="G13" s="37">
        <v>30</v>
      </c>
      <c r="H13" s="164">
        <v>260</v>
      </c>
      <c r="I13" s="164"/>
      <c r="J13" s="164"/>
      <c r="K13" s="55">
        <f t="shared" si="1"/>
        <v>0</v>
      </c>
      <c r="L13" s="55">
        <f t="shared" si="5"/>
        <v>560</v>
      </c>
      <c r="M13" s="55">
        <f t="shared" si="4"/>
        <v>16.8</v>
      </c>
      <c r="N13" s="56">
        <f t="shared" si="2"/>
        <v>40.599999999999994</v>
      </c>
      <c r="O13" s="55">
        <f>IF((L13-M13-N13)&lt;='Tabla de Renta'!$G$16,0,IF((L13-M13-N13)&lt;='Tabla de Renta'!$G$17,((L13-M13-N13)-'Tabla de Renta'!$J$17)*'Tabla de Renta'!$I$17+'Tabla de Renta'!$H$17,IF((L13-M13-N13)&lt;='Tabla de Renta'!$G$18,((L13-M13-N13)-'Tabla de Renta'!$J$18)*'Tabla de Renta'!$I$18+'Tabla de Renta'!$H$18,((L13-M13-N13)-'Tabla de Renta'!$J$19)*'Tabla de Renta'!$I$19+'Tabla de Renta'!$H$19)))</f>
        <v>20.730000000000004</v>
      </c>
      <c r="P13" s="163"/>
      <c r="Q13" s="55">
        <f t="shared" si="3"/>
        <v>481.87</v>
      </c>
      <c r="R13" s="37"/>
    </row>
    <row r="14" spans="1:18" ht="26.25" customHeight="1" x14ac:dyDescent="0.25">
      <c r="A14" s="37">
        <v>7</v>
      </c>
      <c r="B14" s="72" t="s">
        <v>122</v>
      </c>
      <c r="C14" s="72"/>
      <c r="D14" s="72"/>
      <c r="E14" s="72"/>
      <c r="F14" s="38">
        <v>850</v>
      </c>
      <c r="G14" s="37">
        <v>30</v>
      </c>
      <c r="H14" s="164"/>
      <c r="I14" s="164"/>
      <c r="J14" s="164"/>
      <c r="K14" s="55">
        <f t="shared" si="1"/>
        <v>0</v>
      </c>
      <c r="L14" s="55">
        <f t="shared" si="5"/>
        <v>850</v>
      </c>
      <c r="M14" s="55">
        <f t="shared" si="4"/>
        <v>25.5</v>
      </c>
      <c r="N14" s="56">
        <f t="shared" si="2"/>
        <v>61.624999999999993</v>
      </c>
      <c r="O14" s="55">
        <f>IF((L14-M14-N14)&lt;='Tabla de Renta'!$G$16,0,IF((L14-M14-N14)&lt;='Tabla de Renta'!$G$17,((L14-M14-N14)-'Tabla de Renta'!$J$17)*'Tabla de Renta'!$I$17+'Tabla de Renta'!$H$17,IF((L14-M14-N14)&lt;='Tabla de Renta'!$G$18,((L14-M14-N14)-'Tabla de Renta'!$J$18)*'Tabla de Renta'!$I$18+'Tabla de Renta'!$H$18,((L14-M14-N14)-'Tabla de Renta'!$J$19)*'Tabla de Renta'!$I$19+'Tabla de Renta'!$H$19)))</f>
        <v>46.757500000000007</v>
      </c>
      <c r="P14" s="163"/>
      <c r="Q14" s="55">
        <f t="shared" si="3"/>
        <v>716.11749999999995</v>
      </c>
      <c r="R14" s="37"/>
    </row>
    <row r="15" spans="1:18" ht="26.25" customHeight="1" x14ac:dyDescent="0.35">
      <c r="A15" s="58" t="s">
        <v>127</v>
      </c>
      <c r="B15" s="58"/>
      <c r="C15" s="58"/>
      <c r="D15" s="58"/>
      <c r="E15" s="58"/>
      <c r="F15" s="52">
        <f>SUM(F8:F14)</f>
        <v>4725</v>
      </c>
      <c r="G15" s="53"/>
      <c r="H15" s="52">
        <f t="shared" ref="H15:Q15" si="6">SUM(H8:H14)</f>
        <v>710</v>
      </c>
      <c r="I15" s="52">
        <f t="shared" si="6"/>
        <v>25</v>
      </c>
      <c r="J15" s="52">
        <f t="shared" si="6"/>
        <v>37.5</v>
      </c>
      <c r="K15" s="52">
        <f t="shared" si="6"/>
        <v>62.5</v>
      </c>
      <c r="L15" s="52">
        <f t="shared" si="6"/>
        <v>5497.5</v>
      </c>
      <c r="M15" s="52">
        <f t="shared" si="6"/>
        <v>161.17500000000001</v>
      </c>
      <c r="N15" s="52">
        <f t="shared" si="6"/>
        <v>398.56875000000002</v>
      </c>
      <c r="O15" s="52">
        <f t="shared" si="6"/>
        <v>272.03100000000001</v>
      </c>
      <c r="P15" s="52">
        <f t="shared" si="6"/>
        <v>10</v>
      </c>
      <c r="Q15" s="52">
        <f t="shared" si="6"/>
        <v>4655.7252500000004</v>
      </c>
      <c r="R15" s="54"/>
    </row>
    <row r="16" spans="1:18" ht="26.25" customHeight="1" thickBot="1" x14ac:dyDescent="0.3">
      <c r="O16" s="49"/>
    </row>
    <row r="17" spans="7:15" ht="26.25" customHeight="1" thickBot="1" x14ac:dyDescent="0.3">
      <c r="I17" s="185"/>
      <c r="J17" s="188"/>
      <c r="K17" s="188"/>
      <c r="L17" s="188"/>
      <c r="M17" s="188"/>
      <c r="N17" s="188"/>
      <c r="O17" s="189"/>
    </row>
    <row r="18" spans="7:15" ht="26.25" customHeight="1" thickBot="1" x14ac:dyDescent="0.3">
      <c r="G18" s="57"/>
      <c r="I18" s="186"/>
      <c r="J18" s="178" t="s">
        <v>141</v>
      </c>
      <c r="K18" s="190"/>
      <c r="L18" s="191"/>
      <c r="M18" s="191"/>
      <c r="N18" s="191"/>
      <c r="O18" s="192"/>
    </row>
    <row r="19" spans="7:15" ht="26.25" customHeight="1" x14ac:dyDescent="0.25">
      <c r="I19" s="186"/>
      <c r="J19" s="182" t="s">
        <v>150</v>
      </c>
      <c r="K19" s="183"/>
      <c r="L19" s="183"/>
      <c r="M19" s="183"/>
      <c r="N19" s="184"/>
      <c r="O19" s="192"/>
    </row>
    <row r="20" spans="7:15" ht="26.25" customHeight="1" thickBot="1" x14ac:dyDescent="0.3">
      <c r="I20" s="186"/>
      <c r="J20" s="179"/>
      <c r="K20" s="180"/>
      <c r="L20" s="180"/>
      <c r="M20" s="180"/>
      <c r="N20" s="181"/>
      <c r="O20" s="192"/>
    </row>
    <row r="21" spans="7:15" ht="26.25" customHeight="1" x14ac:dyDescent="0.25">
      <c r="I21" s="186"/>
      <c r="J21" s="166" t="s">
        <v>145</v>
      </c>
      <c r="K21" s="167"/>
      <c r="L21" s="167"/>
      <c r="M21" s="167"/>
      <c r="N21" s="168"/>
      <c r="O21" s="192"/>
    </row>
    <row r="22" spans="7:15" ht="26.25" customHeight="1" x14ac:dyDescent="0.25">
      <c r="I22" s="186"/>
      <c r="J22" s="169"/>
      <c r="K22" s="170"/>
      <c r="L22" s="170"/>
      <c r="M22" s="170"/>
      <c r="N22" s="171"/>
      <c r="O22" s="192"/>
    </row>
    <row r="23" spans="7:15" ht="26.25" customHeight="1" x14ac:dyDescent="0.35">
      <c r="I23" s="186"/>
      <c r="J23" s="172" t="s">
        <v>146</v>
      </c>
      <c r="K23" s="173"/>
      <c r="L23" s="173"/>
      <c r="M23" s="173"/>
      <c r="N23" s="174"/>
      <c r="O23" s="192"/>
    </row>
    <row r="24" spans="7:15" ht="26.25" customHeight="1" x14ac:dyDescent="0.5">
      <c r="I24" s="186"/>
      <c r="J24" s="199" t="s">
        <v>147</v>
      </c>
      <c r="K24" s="200"/>
      <c r="L24" s="200"/>
      <c r="M24" s="200"/>
      <c r="N24" s="201"/>
      <c r="O24" s="192"/>
    </row>
    <row r="25" spans="7:15" ht="26.25" customHeight="1" thickBot="1" x14ac:dyDescent="0.35">
      <c r="I25" s="186"/>
      <c r="J25" s="175" t="s">
        <v>148</v>
      </c>
      <c r="K25" s="176"/>
      <c r="L25" s="176"/>
      <c r="M25" s="176"/>
      <c r="N25" s="177"/>
      <c r="O25" s="192"/>
    </row>
    <row r="26" spans="7:15" ht="26.25" customHeight="1" x14ac:dyDescent="0.25">
      <c r="I26" s="186"/>
      <c r="J26" s="194" t="s">
        <v>149</v>
      </c>
      <c r="K26" s="194"/>
      <c r="L26" s="194"/>
      <c r="M26" s="194"/>
      <c r="N26" s="194"/>
      <c r="O26" s="192"/>
    </row>
    <row r="27" spans="7:15" ht="26.25" customHeight="1" x14ac:dyDescent="0.25">
      <c r="I27" s="186"/>
      <c r="J27" s="195"/>
      <c r="K27" s="195"/>
      <c r="L27" s="195"/>
      <c r="M27" s="195"/>
      <c r="N27" s="195"/>
      <c r="O27" s="192"/>
    </row>
    <row r="28" spans="7:15" ht="26.25" customHeight="1" thickBot="1" x14ac:dyDescent="0.3">
      <c r="I28" s="187"/>
      <c r="J28" s="191"/>
      <c r="K28" s="191"/>
      <c r="L28" s="191"/>
      <c r="M28" s="191"/>
      <c r="N28" s="191"/>
      <c r="O28" s="193"/>
    </row>
  </sheetData>
  <sortState ref="B8:E14">
    <sortCondition ref="B8"/>
  </sortState>
  <mergeCells count="29">
    <mergeCell ref="J26:N27"/>
    <mergeCell ref="J19:N20"/>
    <mergeCell ref="A3:M3"/>
    <mergeCell ref="A4:M4"/>
    <mergeCell ref="J23:N23"/>
    <mergeCell ref="J21:N22"/>
    <mergeCell ref="J24:N24"/>
    <mergeCell ref="J25:N25"/>
    <mergeCell ref="B8:E8"/>
    <mergeCell ref="B9:E9"/>
    <mergeCell ref="B10:E10"/>
    <mergeCell ref="B11:E11"/>
    <mergeCell ref="B12:E12"/>
    <mergeCell ref="A15:E15"/>
    <mergeCell ref="R6:R7"/>
    <mergeCell ref="B6:E7"/>
    <mergeCell ref="A6:A7"/>
    <mergeCell ref="L6:L7"/>
    <mergeCell ref="I6:I7"/>
    <mergeCell ref="J6:J7"/>
    <mergeCell ref="K6:K7"/>
    <mergeCell ref="M6:O6"/>
    <mergeCell ref="P6:P7"/>
    <mergeCell ref="Q6:Q7"/>
    <mergeCell ref="B13:E13"/>
    <mergeCell ref="B14:E14"/>
    <mergeCell ref="F6:F7"/>
    <mergeCell ref="G6:G7"/>
    <mergeCell ref="H6:H7"/>
  </mergeCells>
  <hyperlinks>
    <hyperlink ref="J25" r:id="rId1" xr:uid="{F70E28F3-E823-4BC8-A244-843786D3C719}"/>
    <hyperlink ref="J24" r:id="rId2" display="www.tiservicios.net" xr:uid="{3FC5CCBC-A86D-4FAC-86DE-8EC9A2C9AE25}"/>
    <hyperlink ref="J24:L24" r:id="rId3" display="https://www.contaportable.com/" xr:uid="{4DE8C7AF-DBE2-4477-97E1-2397A6DEC654}"/>
  </hyperlinks>
  <pageMargins left="0.7" right="0.7" top="0.75" bottom="0.75" header="0.3" footer="0.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97AA4-BE31-446D-BCD3-FEDD11F99B3C}">
  <dimension ref="A2:R27"/>
  <sheetViews>
    <sheetView zoomScale="70" zoomScaleNormal="70" workbookViewId="0">
      <selection activeCell="A3" sqref="A3:M3"/>
    </sheetView>
  </sheetViews>
  <sheetFormatPr baseColWidth="10" defaultRowHeight="26.25" customHeight="1" x14ac:dyDescent="0.25"/>
  <cols>
    <col min="1" max="1" width="5.7109375" customWidth="1"/>
    <col min="6" max="6" width="17.42578125" customWidth="1"/>
    <col min="7" max="7" width="8.5703125" customWidth="1"/>
    <col min="8" max="11" width="15.140625" customWidth="1"/>
    <col min="12" max="12" width="17.140625" customWidth="1"/>
    <col min="13" max="14" width="15.85546875" bestFit="1" customWidth="1"/>
    <col min="15" max="15" width="14.85546875" customWidth="1"/>
    <col min="16" max="16" width="14" bestFit="1" customWidth="1"/>
    <col min="17" max="17" width="16.140625" customWidth="1"/>
    <col min="18" max="18" width="28.7109375" customWidth="1"/>
  </cols>
  <sheetData>
    <row r="2" spans="1:18" ht="26.25" customHeight="1" x14ac:dyDescent="0.4">
      <c r="A2" s="205" t="s">
        <v>125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8" ht="26.25" customHeight="1" x14ac:dyDescent="0.4">
      <c r="A3" s="206" t="s">
        <v>143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5" spans="1:18" ht="26.25" customHeight="1" x14ac:dyDescent="0.3">
      <c r="A5" s="66" t="s">
        <v>126</v>
      </c>
      <c r="B5" s="60" t="s">
        <v>128</v>
      </c>
      <c r="C5" s="61"/>
      <c r="D5" s="61"/>
      <c r="E5" s="62"/>
      <c r="F5" s="70" t="s">
        <v>140</v>
      </c>
      <c r="G5" s="59" t="s">
        <v>129</v>
      </c>
      <c r="H5" s="59" t="s">
        <v>130</v>
      </c>
      <c r="I5" s="70" t="s">
        <v>131</v>
      </c>
      <c r="J5" s="70" t="s">
        <v>132</v>
      </c>
      <c r="K5" s="70" t="s">
        <v>133</v>
      </c>
      <c r="L5" s="68" t="s">
        <v>134</v>
      </c>
      <c r="M5" s="71" t="s">
        <v>135</v>
      </c>
      <c r="N5" s="71"/>
      <c r="O5" s="71"/>
      <c r="P5" s="70" t="s">
        <v>139</v>
      </c>
      <c r="Q5" s="70" t="s">
        <v>138</v>
      </c>
      <c r="R5" s="59" t="s">
        <v>137</v>
      </c>
    </row>
    <row r="6" spans="1:18" ht="48.75" customHeight="1" x14ac:dyDescent="0.3">
      <c r="A6" s="67"/>
      <c r="B6" s="63"/>
      <c r="C6" s="64"/>
      <c r="D6" s="64"/>
      <c r="E6" s="65"/>
      <c r="F6" s="59"/>
      <c r="G6" s="59"/>
      <c r="H6" s="59"/>
      <c r="I6" s="59"/>
      <c r="J6" s="59"/>
      <c r="K6" s="70"/>
      <c r="L6" s="69"/>
      <c r="M6" s="51" t="s">
        <v>124</v>
      </c>
      <c r="N6" s="51" t="s">
        <v>102</v>
      </c>
      <c r="O6" s="51" t="s">
        <v>136</v>
      </c>
      <c r="P6" s="59"/>
      <c r="Q6" s="59"/>
      <c r="R6" s="59"/>
    </row>
    <row r="7" spans="1:18" ht="26.25" customHeight="1" x14ac:dyDescent="0.25">
      <c r="A7" s="37">
        <v>1</v>
      </c>
      <c r="B7" s="72" t="s">
        <v>116</v>
      </c>
      <c r="C7" s="72"/>
      <c r="D7" s="72"/>
      <c r="E7" s="72"/>
      <c r="F7" s="38">
        <v>300</v>
      </c>
      <c r="G7" s="37">
        <v>15</v>
      </c>
      <c r="H7" s="164">
        <v>75</v>
      </c>
      <c r="I7" s="164">
        <f>(F7/30/8)*5*200%</f>
        <v>12.5</v>
      </c>
      <c r="J7" s="164">
        <f>(F7/30/8)*6*250%</f>
        <v>18.75</v>
      </c>
      <c r="K7" s="55">
        <f>I7+J7</f>
        <v>31.25</v>
      </c>
      <c r="L7" s="55">
        <f>(F7/30*G7)+H7+K7</f>
        <v>256.25</v>
      </c>
      <c r="M7" s="55">
        <f>IF(L7&gt;=500,500*3%,L7*3%)</f>
        <v>7.6875</v>
      </c>
      <c r="N7" s="56">
        <f>L7*7.25%</f>
        <v>18.578125</v>
      </c>
      <c r="O7" s="55">
        <f>IF((L7-M7-N7)&lt;='Tabla de Renta'!$G$12,0,IF((L7-M7-N7)&lt;='Tabla de Renta'!$G$13,((L7-M7-N7)-'Tabla de Renta'!$J$13)*'Tabla de Renta'!$I$13+'Tabla de Renta'!$H$13,IF((L7-M7-N7)&lt;='Tabla de Renta'!$G$14,((L7-M7-N7)-'Tabla de Renta'!$J$14)*'Tabla de Renta'!$I$14+'Tabla de Renta'!$H$14,((L7-M7-N7)-'Tabla de Renta'!$J$15)*'Tabla de Renta'!$I$15+'Tabla de Renta'!$H$15)))</f>
        <v>0</v>
      </c>
      <c r="P7" s="164"/>
      <c r="Q7" s="55">
        <f>L7-M7-N7-O7-P7</f>
        <v>229.984375</v>
      </c>
      <c r="R7" s="37"/>
    </row>
    <row r="8" spans="1:18" ht="26.25" customHeight="1" x14ac:dyDescent="0.25">
      <c r="A8" s="37">
        <v>2</v>
      </c>
      <c r="B8" s="72" t="s">
        <v>117</v>
      </c>
      <c r="C8" s="72"/>
      <c r="D8" s="72"/>
      <c r="E8" s="72"/>
      <c r="F8" s="38">
        <v>1125</v>
      </c>
      <c r="G8" s="37">
        <v>15</v>
      </c>
      <c r="H8" s="165"/>
      <c r="I8" s="164"/>
      <c r="J8" s="164"/>
      <c r="K8" s="55">
        <f t="shared" ref="K8:K13" si="0">I8+J8</f>
        <v>0</v>
      </c>
      <c r="L8" s="55">
        <f t="shared" ref="L8:L13" si="1">(F8/30*G8)+H8+K8</f>
        <v>562.5</v>
      </c>
      <c r="M8" s="55">
        <f t="shared" ref="M8:M13" si="2">IF(L8&gt;=500,500*3%,L8*3%)</f>
        <v>15</v>
      </c>
      <c r="N8" s="56">
        <f t="shared" ref="N8:N13" si="3">L8*7.25%</f>
        <v>40.78125</v>
      </c>
      <c r="O8" s="55">
        <f>IF((L8-M8-N8)&lt;='Tabla de Renta'!$G$12,0,IF((L8-M8-N8)&lt;='Tabla de Renta'!$G$13,((L8-M8-N8)-'Tabla de Renta'!$J$13)*'Tabla de Renta'!$I$13+'Tabla de Renta'!$H$13,IF((L8-M8-N8)&lt;='Tabla de Renta'!$G$14,((L8-M8-N8)-'Tabla de Renta'!$J$14)*'Tabla de Renta'!$I$14+'Tabla de Renta'!$H$14,((L8-M8-N8)-'Tabla de Renta'!$J$15)*'Tabla de Renta'!$I$15+'Tabla de Renta'!$H$15)))</f>
        <v>41.819749999999999</v>
      </c>
      <c r="P8" s="164"/>
      <c r="Q8" s="55">
        <f t="shared" ref="Q8:Q13" si="4">L8-M8-N8-O8-P8</f>
        <v>464.899</v>
      </c>
      <c r="R8" s="37"/>
    </row>
    <row r="9" spans="1:18" ht="26.25" customHeight="1" x14ac:dyDescent="0.25">
      <c r="A9" s="37">
        <v>3</v>
      </c>
      <c r="B9" s="72" t="s">
        <v>118</v>
      </c>
      <c r="C9" s="72"/>
      <c r="D9" s="72"/>
      <c r="E9" s="72"/>
      <c r="F9" s="38">
        <v>700</v>
      </c>
      <c r="G9" s="37">
        <v>15</v>
      </c>
      <c r="H9" s="164">
        <v>150</v>
      </c>
      <c r="I9" s="164"/>
      <c r="J9" s="164"/>
      <c r="K9" s="55">
        <f t="shared" si="0"/>
        <v>0</v>
      </c>
      <c r="L9" s="55">
        <f t="shared" si="1"/>
        <v>500</v>
      </c>
      <c r="M9" s="55">
        <f t="shared" si="2"/>
        <v>15</v>
      </c>
      <c r="N9" s="56">
        <f t="shared" si="3"/>
        <v>36.25</v>
      </c>
      <c r="O9" s="55">
        <f>IF((L9-M9-N9)&lt;='Tabla de Renta'!$G$12,0,IF((L9-M9-N9)&lt;='Tabla de Renta'!$G$13,((L9-M9-N9)-'Tabla de Renta'!$J$13)*'Tabla de Renta'!$I$13+'Tabla de Renta'!$H$13,IF((L9-M9-N9)&lt;='Tabla de Renta'!$G$14,((L9-M9-N9)-'Tabla de Renta'!$J$14)*'Tabla de Renta'!$I$14+'Tabla de Renta'!$H$14,((L9-M9-N9)-'Tabla de Renta'!$J$15)*'Tabla de Renta'!$I$15+'Tabla de Renta'!$H$15)))</f>
        <v>30.225999999999999</v>
      </c>
      <c r="P9" s="164">
        <v>5</v>
      </c>
      <c r="Q9" s="55">
        <f t="shared" si="4"/>
        <v>413.524</v>
      </c>
      <c r="R9" s="37"/>
    </row>
    <row r="10" spans="1:18" ht="26.25" customHeight="1" x14ac:dyDescent="0.25">
      <c r="A10" s="37">
        <v>4</v>
      </c>
      <c r="B10" s="72" t="s">
        <v>119</v>
      </c>
      <c r="C10" s="72"/>
      <c r="D10" s="72"/>
      <c r="E10" s="72"/>
      <c r="F10" s="38">
        <v>1000</v>
      </c>
      <c r="G10" s="37">
        <v>15</v>
      </c>
      <c r="H10" s="164"/>
      <c r="I10" s="164"/>
      <c r="J10" s="164"/>
      <c r="K10" s="55">
        <f t="shared" si="0"/>
        <v>0</v>
      </c>
      <c r="L10" s="55">
        <f>(F10/30*G10)+H10+K10</f>
        <v>500.00000000000006</v>
      </c>
      <c r="M10" s="55">
        <f t="shared" si="2"/>
        <v>15</v>
      </c>
      <c r="N10" s="56">
        <f t="shared" si="3"/>
        <v>36.25</v>
      </c>
      <c r="O10" s="55">
        <f>IF((L10-M10-N10)&lt;='Tabla de Renta'!$G$12,0,IF((L10-M10-N10)&lt;='Tabla de Renta'!$G$13,((L10-M10-N10)-'Tabla de Renta'!$J$13)*'Tabla de Renta'!$I$13+'Tabla de Renta'!$H$13,IF((L10-M10-N10)&lt;='Tabla de Renta'!$G$14,((L10-M10-N10)-'Tabla de Renta'!$J$14)*'Tabla de Renta'!$I$14+'Tabla de Renta'!$H$14,((L10-M10-N10)-'Tabla de Renta'!$J$15)*'Tabla de Renta'!$I$15+'Tabla de Renta'!$H$15)))</f>
        <v>30.22600000000001</v>
      </c>
      <c r="P10" s="164"/>
      <c r="Q10" s="55">
        <f t="shared" si="4"/>
        <v>418.52400000000006</v>
      </c>
      <c r="R10" s="37"/>
    </row>
    <row r="11" spans="1:18" ht="26.25" customHeight="1" x14ac:dyDescent="0.25">
      <c r="A11" s="37">
        <v>5</v>
      </c>
      <c r="B11" s="72" t="s">
        <v>120</v>
      </c>
      <c r="C11" s="72"/>
      <c r="D11" s="72"/>
      <c r="E11" s="72"/>
      <c r="F11" s="38">
        <v>450</v>
      </c>
      <c r="G11" s="37">
        <v>15</v>
      </c>
      <c r="H11" s="164"/>
      <c r="I11" s="164"/>
      <c r="J11" s="164"/>
      <c r="K11" s="55">
        <f t="shared" si="0"/>
        <v>0</v>
      </c>
      <c r="L11" s="55">
        <f t="shared" si="1"/>
        <v>225</v>
      </c>
      <c r="M11" s="55">
        <f t="shared" si="2"/>
        <v>6.75</v>
      </c>
      <c r="N11" s="56">
        <f t="shared" si="3"/>
        <v>16.3125</v>
      </c>
      <c r="O11" s="55">
        <f>IF((L11-M11-N11)&lt;='Tabla de Renta'!$G$12,0,IF((L11-M11-N11)&lt;='Tabla de Renta'!$G$13,((L11-M11-N11)-'Tabla de Renta'!$J$13)*'Tabla de Renta'!$I$13+'Tabla de Renta'!$H$13,IF((L11-M11-N11)&lt;='Tabla de Renta'!$G$14,((L11-M11-N11)-'Tabla de Renta'!$J$14)*'Tabla de Renta'!$I$14+'Tabla de Renta'!$H$14,((L11-M11-N11)-'Tabla de Renta'!$J$15)*'Tabla de Renta'!$I$15+'Tabla de Renta'!$H$15)))</f>
        <v>0</v>
      </c>
      <c r="P11" s="164"/>
      <c r="Q11" s="55">
        <f t="shared" si="4"/>
        <v>201.9375</v>
      </c>
      <c r="R11" s="37"/>
    </row>
    <row r="12" spans="1:18" ht="26.25" customHeight="1" x14ac:dyDescent="0.25">
      <c r="A12" s="37">
        <v>6</v>
      </c>
      <c r="B12" s="72" t="s">
        <v>121</v>
      </c>
      <c r="C12" s="72"/>
      <c r="D12" s="72"/>
      <c r="E12" s="72"/>
      <c r="F12" s="38">
        <v>300</v>
      </c>
      <c r="G12" s="37">
        <v>15</v>
      </c>
      <c r="H12" s="164">
        <v>130</v>
      </c>
      <c r="I12" s="164"/>
      <c r="J12" s="164"/>
      <c r="K12" s="55">
        <f t="shared" si="0"/>
        <v>0</v>
      </c>
      <c r="L12" s="55">
        <f t="shared" si="1"/>
        <v>280</v>
      </c>
      <c r="M12" s="55">
        <f t="shared" si="2"/>
        <v>8.4</v>
      </c>
      <c r="N12" s="56">
        <f t="shared" si="3"/>
        <v>20.299999999999997</v>
      </c>
      <c r="O12" s="55">
        <f>IF((L12-M12-N12)&lt;='Tabla de Renta'!$G$12,0,IF((L12-M12-N12)&lt;='Tabla de Renta'!$G$13,((L12-M12-N12)-'Tabla de Renta'!$J$13)*'Tabla de Renta'!$I$13+'Tabla de Renta'!$H$13,IF((L12-M12-N12)&lt;='Tabla de Renta'!$G$14,((L12-M12-N12)-'Tabla de Renta'!$J$14)*'Tabla de Renta'!$I$14+'Tabla de Renta'!$H$14,((L12-M12-N12)-'Tabla de Renta'!$J$15)*'Tabla de Renta'!$I$15+'Tabla de Renta'!$H$15)))</f>
        <v>10.360000000000001</v>
      </c>
      <c r="P12" s="164"/>
      <c r="Q12" s="55">
        <f t="shared" si="4"/>
        <v>240.94</v>
      </c>
      <c r="R12" s="37"/>
    </row>
    <row r="13" spans="1:18" ht="26.25" customHeight="1" x14ac:dyDescent="0.25">
      <c r="A13" s="37">
        <v>7</v>
      </c>
      <c r="B13" s="72" t="s">
        <v>122</v>
      </c>
      <c r="C13" s="72"/>
      <c r="D13" s="72"/>
      <c r="E13" s="72"/>
      <c r="F13" s="38">
        <v>850</v>
      </c>
      <c r="G13" s="37">
        <v>15</v>
      </c>
      <c r="H13" s="164"/>
      <c r="I13" s="164"/>
      <c r="J13" s="164"/>
      <c r="K13" s="55">
        <f t="shared" si="0"/>
        <v>0</v>
      </c>
      <c r="L13" s="55">
        <f t="shared" si="1"/>
        <v>425</v>
      </c>
      <c r="M13" s="55">
        <f t="shared" si="2"/>
        <v>12.75</v>
      </c>
      <c r="N13" s="56">
        <f t="shared" si="3"/>
        <v>30.812499999999996</v>
      </c>
      <c r="O13" s="55">
        <f>IF((L13-M13-N13)&lt;='Tabla de Renta'!$G$12,0,IF((L13-M13-N13)&lt;='Tabla de Renta'!$G$13,((L13-M13-N13)-'Tabla de Renta'!$J$13)*'Tabla de Renta'!$I$13+'Tabla de Renta'!$H$13,IF((L13-M13-N13)&lt;='Tabla de Renta'!$G$14,((L13-M13-N13)-'Tabla de Renta'!$J$14)*'Tabla de Renta'!$I$14+'Tabla de Renta'!$H$14,((L13-M13-N13)-'Tabla de Renta'!$J$15)*'Tabla de Renta'!$I$15+'Tabla de Renta'!$H$15)))</f>
        <v>23.373750000000001</v>
      </c>
      <c r="P13" s="164"/>
      <c r="Q13" s="55">
        <f t="shared" si="4"/>
        <v>358.06375000000003</v>
      </c>
      <c r="R13" s="37"/>
    </row>
    <row r="14" spans="1:18" ht="26.25" customHeight="1" x14ac:dyDescent="0.35">
      <c r="A14" s="58" t="s">
        <v>127</v>
      </c>
      <c r="B14" s="58"/>
      <c r="C14" s="58"/>
      <c r="D14" s="58"/>
      <c r="E14" s="58"/>
      <c r="F14" s="52">
        <f>SUM(F7:F13)</f>
        <v>4725</v>
      </c>
      <c r="G14" s="53"/>
      <c r="H14" s="52">
        <f t="shared" ref="H14:Q14" si="5">SUM(H7:H13)</f>
        <v>355</v>
      </c>
      <c r="I14" s="52">
        <f t="shared" si="5"/>
        <v>12.5</v>
      </c>
      <c r="J14" s="52">
        <f t="shared" si="5"/>
        <v>18.75</v>
      </c>
      <c r="K14" s="52">
        <f t="shared" si="5"/>
        <v>31.25</v>
      </c>
      <c r="L14" s="52">
        <f t="shared" si="5"/>
        <v>2748.75</v>
      </c>
      <c r="M14" s="52">
        <f t="shared" si="5"/>
        <v>80.587500000000006</v>
      </c>
      <c r="N14" s="52">
        <f t="shared" si="5"/>
        <v>199.28437500000001</v>
      </c>
      <c r="O14" s="52">
        <f t="shared" si="5"/>
        <v>136.00550000000001</v>
      </c>
      <c r="P14" s="52">
        <f t="shared" si="5"/>
        <v>5</v>
      </c>
      <c r="Q14" s="52">
        <f t="shared" si="5"/>
        <v>2327.872625</v>
      </c>
      <c r="R14" s="54"/>
    </row>
    <row r="15" spans="1:18" ht="26.25" customHeight="1" thickBot="1" x14ac:dyDescent="0.3">
      <c r="O15" s="49"/>
    </row>
    <row r="16" spans="1:18" ht="26.25" customHeight="1" thickBot="1" x14ac:dyDescent="0.3">
      <c r="G16" s="185"/>
      <c r="H16" s="188"/>
      <c r="I16" s="188"/>
      <c r="J16" s="188"/>
      <c r="K16" s="188"/>
      <c r="L16" s="188"/>
      <c r="M16" s="189"/>
    </row>
    <row r="17" spans="7:13" ht="26.25" customHeight="1" thickBot="1" x14ac:dyDescent="0.3">
      <c r="G17" s="186"/>
      <c r="H17" s="178" t="s">
        <v>141</v>
      </c>
      <c r="I17" s="190"/>
      <c r="J17" s="191"/>
      <c r="K17" s="191"/>
      <c r="L17" s="191"/>
      <c r="M17" s="192"/>
    </row>
    <row r="18" spans="7:13" ht="26.25" customHeight="1" x14ac:dyDescent="0.25">
      <c r="G18" s="186"/>
      <c r="H18" s="182" t="s">
        <v>151</v>
      </c>
      <c r="I18" s="183"/>
      <c r="J18" s="183"/>
      <c r="K18" s="183"/>
      <c r="L18" s="184"/>
      <c r="M18" s="192"/>
    </row>
    <row r="19" spans="7:13" ht="26.25" customHeight="1" thickBot="1" x14ac:dyDescent="0.3">
      <c r="G19" s="186"/>
      <c r="H19" s="179"/>
      <c r="I19" s="180"/>
      <c r="J19" s="180"/>
      <c r="K19" s="180"/>
      <c r="L19" s="181"/>
      <c r="M19" s="192"/>
    </row>
    <row r="20" spans="7:13" ht="26.25" customHeight="1" x14ac:dyDescent="0.25">
      <c r="G20" s="186"/>
      <c r="H20" s="166" t="s">
        <v>145</v>
      </c>
      <c r="I20" s="167"/>
      <c r="J20" s="167"/>
      <c r="K20" s="167"/>
      <c r="L20" s="168"/>
      <c r="M20" s="192"/>
    </row>
    <row r="21" spans="7:13" ht="26.25" customHeight="1" x14ac:dyDescent="0.25">
      <c r="G21" s="186"/>
      <c r="H21" s="169"/>
      <c r="I21" s="170"/>
      <c r="J21" s="170"/>
      <c r="K21" s="170"/>
      <c r="L21" s="171"/>
      <c r="M21" s="192"/>
    </row>
    <row r="22" spans="7:13" ht="26.25" customHeight="1" x14ac:dyDescent="0.35">
      <c r="G22" s="186"/>
      <c r="H22" s="172" t="s">
        <v>146</v>
      </c>
      <c r="I22" s="173"/>
      <c r="J22" s="173"/>
      <c r="K22" s="173"/>
      <c r="L22" s="174"/>
      <c r="M22" s="192"/>
    </row>
    <row r="23" spans="7:13" ht="26.25" customHeight="1" x14ac:dyDescent="0.5">
      <c r="G23" s="186"/>
      <c r="H23" s="199" t="s">
        <v>147</v>
      </c>
      <c r="I23" s="200"/>
      <c r="J23" s="200"/>
      <c r="K23" s="200"/>
      <c r="L23" s="201"/>
      <c r="M23" s="192"/>
    </row>
    <row r="24" spans="7:13" ht="26.25" customHeight="1" thickBot="1" x14ac:dyDescent="0.35">
      <c r="G24" s="186"/>
      <c r="H24" s="175" t="s">
        <v>148</v>
      </c>
      <c r="I24" s="176"/>
      <c r="J24" s="176"/>
      <c r="K24" s="176"/>
      <c r="L24" s="177"/>
      <c r="M24" s="192"/>
    </row>
    <row r="25" spans="7:13" ht="26.25" customHeight="1" x14ac:dyDescent="0.25">
      <c r="G25" s="186"/>
      <c r="H25" s="194" t="s">
        <v>149</v>
      </c>
      <c r="I25" s="194"/>
      <c r="J25" s="194"/>
      <c r="K25" s="194"/>
      <c r="L25" s="194"/>
      <c r="M25" s="192"/>
    </row>
    <row r="26" spans="7:13" ht="26.25" customHeight="1" x14ac:dyDescent="0.25">
      <c r="G26" s="186"/>
      <c r="H26" s="195"/>
      <c r="I26" s="195"/>
      <c r="J26" s="195"/>
      <c r="K26" s="195"/>
      <c r="L26" s="195"/>
      <c r="M26" s="192"/>
    </row>
    <row r="27" spans="7:13" ht="26.25" customHeight="1" thickBot="1" x14ac:dyDescent="0.3">
      <c r="G27" s="187"/>
      <c r="H27" s="191"/>
      <c r="I27" s="191"/>
      <c r="J27" s="191"/>
      <c r="K27" s="191"/>
      <c r="L27" s="191"/>
      <c r="M27" s="193"/>
    </row>
  </sheetData>
  <mergeCells count="29">
    <mergeCell ref="H25:L26"/>
    <mergeCell ref="A2:M2"/>
    <mergeCell ref="A3:M3"/>
    <mergeCell ref="H18:L19"/>
    <mergeCell ref="H20:L21"/>
    <mergeCell ref="H22:L22"/>
    <mergeCell ref="H23:L23"/>
    <mergeCell ref="H24:L24"/>
    <mergeCell ref="B5:E6"/>
    <mergeCell ref="F5:F6"/>
    <mergeCell ref="G5:G6"/>
    <mergeCell ref="H5:H6"/>
    <mergeCell ref="I5:I6"/>
    <mergeCell ref="B12:E12"/>
    <mergeCell ref="B13:E13"/>
    <mergeCell ref="A14:E14"/>
    <mergeCell ref="R5:R6"/>
    <mergeCell ref="B7:E7"/>
    <mergeCell ref="B8:E8"/>
    <mergeCell ref="B9:E9"/>
    <mergeCell ref="B10:E10"/>
    <mergeCell ref="B11:E11"/>
    <mergeCell ref="J5:J6"/>
    <mergeCell ref="K5:K6"/>
    <mergeCell ref="L5:L6"/>
    <mergeCell ref="M5:O5"/>
    <mergeCell ref="P5:P6"/>
    <mergeCell ref="Q5:Q6"/>
    <mergeCell ref="A5:A6"/>
  </mergeCells>
  <hyperlinks>
    <hyperlink ref="H24" r:id="rId1" xr:uid="{D2EDE7E2-F5F0-4C2D-9F00-EDA51F0AB263}"/>
    <hyperlink ref="H23" r:id="rId2" display="www.tiservicios.net" xr:uid="{D96B41AB-E0E8-4CFC-B3D8-4A7B9184CC1A}"/>
    <hyperlink ref="H23:J23" r:id="rId3" display="https://www.contaportable.com/" xr:uid="{0F1F418E-AC38-49A1-A0AB-E4F3D5532A8C}"/>
  </hyperlinks>
  <pageMargins left="0.7" right="0.7" top="0.75" bottom="0.75" header="0.3" footer="0.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8CB67-BDE3-425C-9CA7-A1951B93E8EB}">
  <dimension ref="A2:R27"/>
  <sheetViews>
    <sheetView tabSelected="1" zoomScale="70" zoomScaleNormal="70" workbookViewId="0"/>
  </sheetViews>
  <sheetFormatPr baseColWidth="10" defaultRowHeight="26.25" customHeight="1" x14ac:dyDescent="0.25"/>
  <cols>
    <col min="1" max="1" width="5.7109375" customWidth="1"/>
    <col min="6" max="6" width="17.42578125" customWidth="1"/>
    <col min="7" max="7" width="8.5703125" customWidth="1"/>
    <col min="8" max="11" width="15.140625" customWidth="1"/>
    <col min="12" max="12" width="17.140625" customWidth="1"/>
    <col min="13" max="14" width="15.85546875" bestFit="1" customWidth="1"/>
    <col min="15" max="15" width="14.85546875" customWidth="1"/>
    <col min="16" max="16" width="14" bestFit="1" customWidth="1"/>
    <col min="17" max="17" width="16.140625" customWidth="1"/>
    <col min="18" max="18" width="28.7109375" customWidth="1"/>
  </cols>
  <sheetData>
    <row r="2" spans="1:18" ht="26.25" customHeight="1" x14ac:dyDescent="0.4">
      <c r="A2" s="205" t="s">
        <v>125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8" ht="26.25" customHeight="1" x14ac:dyDescent="0.4">
      <c r="A3" s="206" t="s">
        <v>142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5" spans="1:18" ht="26.25" customHeight="1" x14ac:dyDescent="0.3">
      <c r="A5" s="66" t="s">
        <v>126</v>
      </c>
      <c r="B5" s="60" t="s">
        <v>128</v>
      </c>
      <c r="C5" s="61"/>
      <c r="D5" s="61"/>
      <c r="E5" s="62"/>
      <c r="F5" s="70" t="s">
        <v>140</v>
      </c>
      <c r="G5" s="59" t="s">
        <v>129</v>
      </c>
      <c r="H5" s="59" t="s">
        <v>130</v>
      </c>
      <c r="I5" s="70" t="s">
        <v>131</v>
      </c>
      <c r="J5" s="70" t="s">
        <v>132</v>
      </c>
      <c r="K5" s="70" t="s">
        <v>133</v>
      </c>
      <c r="L5" s="68" t="s">
        <v>134</v>
      </c>
      <c r="M5" s="71" t="s">
        <v>135</v>
      </c>
      <c r="N5" s="71"/>
      <c r="O5" s="71"/>
      <c r="P5" s="70" t="s">
        <v>139</v>
      </c>
      <c r="Q5" s="70" t="s">
        <v>138</v>
      </c>
      <c r="R5" s="59" t="s">
        <v>137</v>
      </c>
    </row>
    <row r="6" spans="1:18" ht="48.75" customHeight="1" x14ac:dyDescent="0.3">
      <c r="A6" s="67"/>
      <c r="B6" s="63"/>
      <c r="C6" s="64"/>
      <c r="D6" s="64"/>
      <c r="E6" s="65"/>
      <c r="F6" s="59"/>
      <c r="G6" s="59"/>
      <c r="H6" s="59"/>
      <c r="I6" s="59"/>
      <c r="J6" s="59"/>
      <c r="K6" s="70"/>
      <c r="L6" s="69"/>
      <c r="M6" s="51" t="s">
        <v>124</v>
      </c>
      <c r="N6" s="51" t="s">
        <v>102</v>
      </c>
      <c r="O6" s="51" t="s">
        <v>136</v>
      </c>
      <c r="P6" s="59"/>
      <c r="Q6" s="59"/>
      <c r="R6" s="59"/>
    </row>
    <row r="7" spans="1:18" ht="26.25" customHeight="1" x14ac:dyDescent="0.25">
      <c r="A7" s="37">
        <v>1</v>
      </c>
      <c r="B7" s="72" t="s">
        <v>116</v>
      </c>
      <c r="C7" s="72"/>
      <c r="D7" s="72"/>
      <c r="E7" s="72"/>
      <c r="F7" s="38">
        <v>300</v>
      </c>
      <c r="G7" s="37">
        <v>7</v>
      </c>
      <c r="H7" s="164">
        <v>37.5</v>
      </c>
      <c r="I7" s="164">
        <f>(F7/30/8)*2*200%</f>
        <v>5</v>
      </c>
      <c r="J7" s="164">
        <f>(F7/30/8)*3*250%</f>
        <v>9.375</v>
      </c>
      <c r="K7" s="55">
        <f>I7+J7</f>
        <v>14.375</v>
      </c>
      <c r="L7" s="55">
        <f>(F7/30*G7)+H7+K7</f>
        <v>121.875</v>
      </c>
      <c r="M7" s="55">
        <f>IF(L7&gt;=250,250*3%,L7*3%)</f>
        <v>3.65625</v>
      </c>
      <c r="N7" s="56">
        <f>L7*7.25%</f>
        <v>8.8359375</v>
      </c>
      <c r="O7" s="55">
        <f>IF((L7-M7-N7)&lt;='Tabla de Renta'!$G$8,0,IF((L7-M7-N7)&lt;='Tabla de Renta'!$G$9,((L7-M7-N7)-'Tabla de Renta'!$J$9)*'Tabla de Renta'!$I$9+'Tabla de Renta'!$H$9,IF((L7-M7-N7)&lt;='Tabla de Renta'!$G$10,((L7-M7-N7)-'Tabla de Renta'!$J$10)*'Tabla de Renta'!$I$10+'Tabla de Renta'!$H$10,((L7-M7-N7)-'Tabla de Renta'!$J$11)*'Tabla de Renta'!$I$11+'Tabla de Renta'!$H$11)))</f>
        <v>0</v>
      </c>
      <c r="P7" s="164"/>
      <c r="Q7" s="55">
        <f>L7-M7-N7-O7-P7</f>
        <v>109.3828125</v>
      </c>
      <c r="R7" s="37"/>
    </row>
    <row r="8" spans="1:18" ht="26.25" customHeight="1" x14ac:dyDescent="0.25">
      <c r="A8" s="37">
        <v>2</v>
      </c>
      <c r="B8" s="72" t="s">
        <v>117</v>
      </c>
      <c r="C8" s="72"/>
      <c r="D8" s="72"/>
      <c r="E8" s="72"/>
      <c r="F8" s="38">
        <v>1125</v>
      </c>
      <c r="G8" s="37">
        <v>7</v>
      </c>
      <c r="H8" s="165"/>
      <c r="I8" s="164"/>
      <c r="J8" s="164"/>
      <c r="K8" s="55">
        <f t="shared" ref="K8:K13" si="0">I8+J8</f>
        <v>0</v>
      </c>
      <c r="L8" s="55">
        <f t="shared" ref="L8:L13" si="1">(F8/30*G8)+H8+K8</f>
        <v>262.5</v>
      </c>
      <c r="M8" s="55">
        <f t="shared" ref="M8:M13" si="2">IF(L8&gt;=250,250*3%,L8*3%)</f>
        <v>7.5</v>
      </c>
      <c r="N8" s="56">
        <f t="shared" ref="N8:N13" si="3">L8*7.25%</f>
        <v>19.03125</v>
      </c>
      <c r="O8" s="55">
        <f>IF((L8-M8-N8)&lt;='Tabla de Renta'!$G$8,0,IF((L8-M8-N8)&lt;='Tabla de Renta'!$G$9,((L8-M8-N8)-'Tabla de Renta'!$J$9)*'Tabla de Renta'!$I$9+'Tabla de Renta'!$H$9,IF((L8-M8-N8)&lt;='Tabla de Renta'!$G$10,((L8-M8-N8)-'Tabla de Renta'!$J$10)*'Tabla de Renta'!$I$10+'Tabla de Renta'!$H$10,((L8-M8-N8)-'Tabla de Renta'!$J$11)*'Tabla de Renta'!$I$11+'Tabla de Renta'!$H$11)))</f>
        <v>17.431750000000001</v>
      </c>
      <c r="P8" s="164"/>
      <c r="Q8" s="55">
        <f t="shared" ref="Q8:Q13" si="4">L8-M8-N8-O8-P8</f>
        <v>218.53700000000001</v>
      </c>
      <c r="R8" s="37"/>
    </row>
    <row r="9" spans="1:18" ht="26.25" customHeight="1" x14ac:dyDescent="0.25">
      <c r="A9" s="37">
        <v>3</v>
      </c>
      <c r="B9" s="72" t="s">
        <v>118</v>
      </c>
      <c r="C9" s="72"/>
      <c r="D9" s="72"/>
      <c r="E9" s="72"/>
      <c r="F9" s="38">
        <v>700</v>
      </c>
      <c r="G9" s="37">
        <v>7</v>
      </c>
      <c r="H9" s="164">
        <v>75</v>
      </c>
      <c r="I9" s="164"/>
      <c r="J9" s="164"/>
      <c r="K9" s="55">
        <f t="shared" si="0"/>
        <v>0</v>
      </c>
      <c r="L9" s="55">
        <f t="shared" si="1"/>
        <v>238.33333333333331</v>
      </c>
      <c r="M9" s="55">
        <f t="shared" si="2"/>
        <v>7.1499999999999995</v>
      </c>
      <c r="N9" s="56">
        <f t="shared" si="3"/>
        <v>17.279166666666665</v>
      </c>
      <c r="O9" s="55">
        <f>IF((L9-M9-N9)&lt;='Tabla de Renta'!$G$8,0,IF((L9-M9-N9)&lt;='Tabla de Renta'!$G$9,((L9-M9-N9)-'Tabla de Renta'!$J$9)*'Tabla de Renta'!$I$9+'Tabla de Renta'!$H$9,IF((L9-M9-N9)&lt;='Tabla de Renta'!$G$10,((L9-M9-N9)-'Tabla de Renta'!$J$10)*'Tabla de Renta'!$I$10+'Tabla de Renta'!$H$10,((L9-M9-N9)-'Tabla de Renta'!$J$11)*'Tabla de Renta'!$I$11+'Tabla de Renta'!$H$11)))</f>
        <v>14.010416666666664</v>
      </c>
      <c r="P9" s="164">
        <v>2</v>
      </c>
      <c r="Q9" s="55">
        <f t="shared" si="4"/>
        <v>197.89374999999998</v>
      </c>
      <c r="R9" s="37"/>
    </row>
    <row r="10" spans="1:18" ht="26.25" customHeight="1" x14ac:dyDescent="0.25">
      <c r="A10" s="37">
        <v>4</v>
      </c>
      <c r="B10" s="72" t="s">
        <v>119</v>
      </c>
      <c r="C10" s="72"/>
      <c r="D10" s="72"/>
      <c r="E10" s="72"/>
      <c r="F10" s="38">
        <v>1000</v>
      </c>
      <c r="G10" s="37">
        <v>7</v>
      </c>
      <c r="H10" s="164"/>
      <c r="I10" s="164"/>
      <c r="J10" s="164"/>
      <c r="K10" s="55">
        <f t="shared" si="0"/>
        <v>0</v>
      </c>
      <c r="L10" s="55">
        <f>(F10/30*G10)+H10+K10</f>
        <v>233.33333333333334</v>
      </c>
      <c r="M10" s="55">
        <f t="shared" si="2"/>
        <v>7</v>
      </c>
      <c r="N10" s="56">
        <f t="shared" si="3"/>
        <v>16.916666666666668</v>
      </c>
      <c r="O10" s="55">
        <f>IF((L10-M10-N10)&lt;='Tabla de Renta'!$G$8,0,IF((L10-M10-N10)&lt;='Tabla de Renta'!$G$9,((L10-M10-N10)-'Tabla de Renta'!$J$9)*'Tabla de Renta'!$I$9+'Tabla de Renta'!$H$9,IF((L10-M10-N10)&lt;='Tabla de Renta'!$G$10,((L10-M10-N10)-'Tabla de Renta'!$J$10)*'Tabla de Renta'!$I$10+'Tabla de Renta'!$H$10,((L10-M10-N10)-'Tabla de Renta'!$J$11)*'Tabla de Renta'!$I$11+'Tabla de Renta'!$H$11)))</f>
        <v>13.561666666666669</v>
      </c>
      <c r="P10" s="164"/>
      <c r="Q10" s="55">
        <f t="shared" si="4"/>
        <v>195.85500000000002</v>
      </c>
      <c r="R10" s="37"/>
    </row>
    <row r="11" spans="1:18" ht="26.25" customHeight="1" x14ac:dyDescent="0.25">
      <c r="A11" s="37">
        <v>5</v>
      </c>
      <c r="B11" s="72" t="s">
        <v>120</v>
      </c>
      <c r="C11" s="72"/>
      <c r="D11" s="72"/>
      <c r="E11" s="72"/>
      <c r="F11" s="38">
        <v>450</v>
      </c>
      <c r="G11" s="37">
        <v>7</v>
      </c>
      <c r="H11" s="164"/>
      <c r="I11" s="164"/>
      <c r="J11" s="164"/>
      <c r="K11" s="55">
        <f t="shared" si="0"/>
        <v>0</v>
      </c>
      <c r="L11" s="55">
        <f t="shared" si="1"/>
        <v>105</v>
      </c>
      <c r="M11" s="55">
        <f t="shared" si="2"/>
        <v>3.15</v>
      </c>
      <c r="N11" s="56">
        <f t="shared" si="3"/>
        <v>7.6124999999999998</v>
      </c>
      <c r="O11" s="55">
        <f>IF((L11-M11-N11)&lt;='Tabla de Renta'!$G$8,0,IF((L11-M11-N11)&lt;='Tabla de Renta'!$G$9,((L11-M11-N11)-'Tabla de Renta'!$J$9)*'Tabla de Renta'!$I$9+'Tabla de Renta'!$H$9,IF((L11-M11-N11)&lt;='Tabla de Renta'!$G$10,((L11-M11-N11)-'Tabla de Renta'!$J$10)*'Tabla de Renta'!$I$10+'Tabla de Renta'!$H$10,((L11-M11-N11)-'Tabla de Renta'!$J$11)*'Tabla de Renta'!$I$11+'Tabla de Renta'!$H$11)))</f>
        <v>0</v>
      </c>
      <c r="P11" s="164"/>
      <c r="Q11" s="55">
        <f>L11-M11-N11-O11-P11</f>
        <v>94.237499999999997</v>
      </c>
      <c r="R11" s="37"/>
    </row>
    <row r="12" spans="1:18" ht="26.25" customHeight="1" x14ac:dyDescent="0.25">
      <c r="A12" s="37">
        <v>6</v>
      </c>
      <c r="B12" s="72" t="s">
        <v>121</v>
      </c>
      <c r="C12" s="72"/>
      <c r="D12" s="72"/>
      <c r="E12" s="72"/>
      <c r="F12" s="38">
        <v>300</v>
      </c>
      <c r="G12" s="37">
        <v>7</v>
      </c>
      <c r="H12" s="164">
        <v>65</v>
      </c>
      <c r="I12" s="164"/>
      <c r="J12" s="164"/>
      <c r="K12" s="55">
        <f t="shared" si="0"/>
        <v>0</v>
      </c>
      <c r="L12" s="55">
        <f t="shared" si="1"/>
        <v>135</v>
      </c>
      <c r="M12" s="55">
        <f t="shared" si="2"/>
        <v>4.05</v>
      </c>
      <c r="N12" s="56">
        <f t="shared" si="3"/>
        <v>9.7874999999999996</v>
      </c>
      <c r="O12" s="55">
        <f>IF((L12-M12-N12)&lt;='Tabla de Renta'!$G$8,0,IF((L12-M12-N12)&lt;='Tabla de Renta'!$G$9,((L12-M12-N12)-'Tabla de Renta'!$J$9)*'Tabla de Renta'!$I$9+'Tabla de Renta'!$H$9,IF((L12-M12-N12)&lt;='Tabla de Renta'!$G$10,((L12-M12-N12)-'Tabla de Renta'!$J$10)*'Tabla de Renta'!$I$10+'Tabla de Renta'!$H$10,((L12-M12-N12)-'Tabla de Renta'!$J$11)*'Tabla de Renta'!$I$11+'Tabla de Renta'!$H$11)))</f>
        <v>4.7362499999999992</v>
      </c>
      <c r="P12" s="164"/>
      <c r="Q12" s="55">
        <f>L12-M12-N12-O12-P12</f>
        <v>116.42625</v>
      </c>
      <c r="R12" s="37"/>
    </row>
    <row r="13" spans="1:18" ht="26.25" customHeight="1" x14ac:dyDescent="0.25">
      <c r="A13" s="37">
        <v>7</v>
      </c>
      <c r="B13" s="72" t="s">
        <v>122</v>
      </c>
      <c r="C13" s="72"/>
      <c r="D13" s="72"/>
      <c r="E13" s="72"/>
      <c r="F13" s="38">
        <v>850</v>
      </c>
      <c r="G13" s="37">
        <v>7</v>
      </c>
      <c r="H13" s="164"/>
      <c r="I13" s="164"/>
      <c r="J13" s="164"/>
      <c r="K13" s="55">
        <f t="shared" si="0"/>
        <v>0</v>
      </c>
      <c r="L13" s="55">
        <f t="shared" si="1"/>
        <v>198.33333333333331</v>
      </c>
      <c r="M13" s="55">
        <f t="shared" si="2"/>
        <v>5.9499999999999993</v>
      </c>
      <c r="N13" s="56">
        <f t="shared" si="3"/>
        <v>14.379166666666665</v>
      </c>
      <c r="O13" s="55">
        <f>IF((L13-M13-N13)&lt;='Tabla de Renta'!$G$8,0,IF((L13-M13-N13)&lt;='Tabla de Renta'!$G$9,((L13-M13-N13)-'Tabla de Renta'!$J$9)*'Tabla de Renta'!$I$9+'Tabla de Renta'!$H$9,IF((L13-M13-N13)&lt;='Tabla de Renta'!$G$10,((L13-M13-N13)-'Tabla de Renta'!$J$10)*'Tabla de Renta'!$I$10+'Tabla de Renta'!$H$10,((L13-M13-N13)-'Tabla de Renta'!$J$11)*'Tabla de Renta'!$I$11+'Tabla de Renta'!$H$11)))</f>
        <v>10.420416666666666</v>
      </c>
      <c r="P13" s="164"/>
      <c r="Q13" s="55">
        <f>L13-M13-N13-O13-P13</f>
        <v>167.58375000000001</v>
      </c>
      <c r="R13" s="37"/>
    </row>
    <row r="14" spans="1:18" ht="26.25" customHeight="1" x14ac:dyDescent="0.35">
      <c r="A14" s="58" t="s">
        <v>127</v>
      </c>
      <c r="B14" s="58"/>
      <c r="C14" s="58"/>
      <c r="D14" s="58"/>
      <c r="E14" s="58"/>
      <c r="F14" s="52">
        <f>SUM(F7:F13)</f>
        <v>4725</v>
      </c>
      <c r="G14" s="53"/>
      <c r="H14" s="52">
        <f t="shared" ref="H14:Q14" si="5">SUM(H7:H13)</f>
        <v>177.5</v>
      </c>
      <c r="I14" s="52">
        <f t="shared" si="5"/>
        <v>5</v>
      </c>
      <c r="J14" s="52">
        <f t="shared" si="5"/>
        <v>9.375</v>
      </c>
      <c r="K14" s="52">
        <f t="shared" si="5"/>
        <v>14.375</v>
      </c>
      <c r="L14" s="52">
        <f t="shared" si="5"/>
        <v>1294.3749999999998</v>
      </c>
      <c r="M14" s="52">
        <f t="shared" si="5"/>
        <v>38.456249999999997</v>
      </c>
      <c r="N14" s="52">
        <f t="shared" si="5"/>
        <v>93.842187499999994</v>
      </c>
      <c r="O14" s="52">
        <f t="shared" si="5"/>
        <v>60.160499999999999</v>
      </c>
      <c r="P14" s="52">
        <f t="shared" si="5"/>
        <v>2</v>
      </c>
      <c r="Q14" s="52">
        <f t="shared" si="5"/>
        <v>1099.9160625</v>
      </c>
      <c r="R14" s="54"/>
    </row>
    <row r="15" spans="1:18" ht="26.25" customHeight="1" thickBot="1" x14ac:dyDescent="0.3">
      <c r="O15" s="49"/>
    </row>
    <row r="16" spans="1:18" ht="26.25" customHeight="1" thickBot="1" x14ac:dyDescent="0.3">
      <c r="G16" s="185"/>
      <c r="H16" s="188"/>
      <c r="I16" s="188"/>
      <c r="J16" s="188"/>
      <c r="K16" s="188"/>
      <c r="L16" s="188"/>
      <c r="M16" s="189"/>
    </row>
    <row r="17" spans="7:13" ht="26.25" customHeight="1" thickBot="1" x14ac:dyDescent="0.3">
      <c r="G17" s="186"/>
      <c r="H17" s="178" t="s">
        <v>141</v>
      </c>
      <c r="I17" s="190"/>
      <c r="J17" s="191"/>
      <c r="K17" s="191"/>
      <c r="L17" s="191"/>
      <c r="M17" s="192"/>
    </row>
    <row r="18" spans="7:13" ht="26.25" customHeight="1" x14ac:dyDescent="0.25">
      <c r="G18" s="186"/>
      <c r="H18" s="182" t="s">
        <v>152</v>
      </c>
      <c r="I18" s="183"/>
      <c r="J18" s="183"/>
      <c r="K18" s="183"/>
      <c r="L18" s="184"/>
      <c r="M18" s="192"/>
    </row>
    <row r="19" spans="7:13" ht="26.25" customHeight="1" thickBot="1" x14ac:dyDescent="0.3">
      <c r="G19" s="186"/>
      <c r="H19" s="179"/>
      <c r="I19" s="180"/>
      <c r="J19" s="180"/>
      <c r="K19" s="180"/>
      <c r="L19" s="181"/>
      <c r="M19" s="192"/>
    </row>
    <row r="20" spans="7:13" ht="26.25" customHeight="1" x14ac:dyDescent="0.25">
      <c r="G20" s="186"/>
      <c r="H20" s="166" t="s">
        <v>145</v>
      </c>
      <c r="I20" s="167"/>
      <c r="J20" s="167"/>
      <c r="K20" s="167"/>
      <c r="L20" s="168"/>
      <c r="M20" s="192"/>
    </row>
    <row r="21" spans="7:13" ht="26.25" customHeight="1" x14ac:dyDescent="0.25">
      <c r="G21" s="186"/>
      <c r="H21" s="169"/>
      <c r="I21" s="170"/>
      <c r="J21" s="170"/>
      <c r="K21" s="170"/>
      <c r="L21" s="171"/>
      <c r="M21" s="192"/>
    </row>
    <row r="22" spans="7:13" ht="26.25" customHeight="1" x14ac:dyDescent="0.35">
      <c r="G22" s="186"/>
      <c r="H22" s="172" t="s">
        <v>146</v>
      </c>
      <c r="I22" s="173"/>
      <c r="J22" s="173"/>
      <c r="K22" s="173"/>
      <c r="L22" s="174"/>
      <c r="M22" s="192"/>
    </row>
    <row r="23" spans="7:13" ht="26.25" customHeight="1" x14ac:dyDescent="0.45">
      <c r="G23" s="186"/>
      <c r="H23" s="196" t="s">
        <v>147</v>
      </c>
      <c r="I23" s="197"/>
      <c r="J23" s="197"/>
      <c r="K23" s="197"/>
      <c r="L23" s="198"/>
      <c r="M23" s="192"/>
    </row>
    <row r="24" spans="7:13" ht="26.25" customHeight="1" thickBot="1" x14ac:dyDescent="0.35">
      <c r="G24" s="186"/>
      <c r="H24" s="175" t="s">
        <v>148</v>
      </c>
      <c r="I24" s="176"/>
      <c r="J24" s="176"/>
      <c r="K24" s="176"/>
      <c r="L24" s="177"/>
      <c r="M24" s="192"/>
    </row>
    <row r="25" spans="7:13" ht="26.25" customHeight="1" x14ac:dyDescent="0.25">
      <c r="G25" s="186"/>
      <c r="H25" s="194" t="s">
        <v>149</v>
      </c>
      <c r="I25" s="194"/>
      <c r="J25" s="194"/>
      <c r="K25" s="194"/>
      <c r="L25" s="194"/>
      <c r="M25" s="192"/>
    </row>
    <row r="26" spans="7:13" ht="26.25" customHeight="1" x14ac:dyDescent="0.25">
      <c r="G26" s="186"/>
      <c r="H26" s="195"/>
      <c r="I26" s="195"/>
      <c r="J26" s="195"/>
      <c r="K26" s="195"/>
      <c r="L26" s="195"/>
      <c r="M26" s="192"/>
    </row>
    <row r="27" spans="7:13" ht="26.25" customHeight="1" thickBot="1" x14ac:dyDescent="0.3">
      <c r="G27" s="187"/>
      <c r="H27" s="191"/>
      <c r="I27" s="191"/>
      <c r="J27" s="191"/>
      <c r="K27" s="191"/>
      <c r="L27" s="191"/>
      <c r="M27" s="193"/>
    </row>
  </sheetData>
  <mergeCells count="29">
    <mergeCell ref="H23:L23"/>
    <mergeCell ref="H24:L24"/>
    <mergeCell ref="H25:L26"/>
    <mergeCell ref="A2:M2"/>
    <mergeCell ref="A3:M3"/>
    <mergeCell ref="B12:E12"/>
    <mergeCell ref="B13:E13"/>
    <mergeCell ref="A14:E14"/>
    <mergeCell ref="H18:L19"/>
    <mergeCell ref="H20:L21"/>
    <mergeCell ref="H22:L22"/>
    <mergeCell ref="R5:R6"/>
    <mergeCell ref="B7:E7"/>
    <mergeCell ref="B8:E8"/>
    <mergeCell ref="B9:E9"/>
    <mergeCell ref="B10:E10"/>
    <mergeCell ref="B11:E11"/>
    <mergeCell ref="J5:J6"/>
    <mergeCell ref="K5:K6"/>
    <mergeCell ref="L5:L6"/>
    <mergeCell ref="M5:O5"/>
    <mergeCell ref="P5:P6"/>
    <mergeCell ref="Q5:Q6"/>
    <mergeCell ref="A5:A6"/>
    <mergeCell ref="B5:E6"/>
    <mergeCell ref="F5:F6"/>
    <mergeCell ref="G5:G6"/>
    <mergeCell ref="H5:H6"/>
    <mergeCell ref="I5:I6"/>
  </mergeCells>
  <hyperlinks>
    <hyperlink ref="H24" r:id="rId1" xr:uid="{9AE65369-DAAB-40EF-8C22-C4F12CFD9702}"/>
    <hyperlink ref="H23" r:id="rId2" display="www.tiservicios.net" xr:uid="{46EEC966-D322-46BD-AC53-12E569401D45}"/>
    <hyperlink ref="H23:J23" r:id="rId3" display="https://www.contaportable.com/" xr:uid="{D3FD2B05-701B-45BF-9E96-A292022C2D41}"/>
  </hyperlinks>
  <pageMargins left="0.7" right="0.7" top="0.75" bottom="0.75" header="0.3" footer="0.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3"/>
  <sheetViews>
    <sheetView zoomScaleNormal="100" workbookViewId="0">
      <selection activeCell="D25" sqref="D25"/>
    </sheetView>
  </sheetViews>
  <sheetFormatPr baseColWidth="10" defaultRowHeight="15" x14ac:dyDescent="0.25"/>
  <cols>
    <col min="14" max="14" width="15" customWidth="1"/>
  </cols>
  <sheetData>
    <row r="1" spans="1:24" x14ac:dyDescent="0.25">
      <c r="A1" s="1"/>
      <c r="B1" s="15"/>
      <c r="C1" s="1"/>
      <c r="D1" s="16"/>
      <c r="E1" s="76" t="s">
        <v>61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1"/>
      <c r="T1" s="1"/>
      <c r="U1" s="17"/>
      <c r="V1" s="1"/>
      <c r="W1" s="1"/>
      <c r="X1" s="14"/>
    </row>
    <row r="2" spans="1:24" x14ac:dyDescent="0.25">
      <c r="A2" s="1"/>
      <c r="B2" s="15"/>
      <c r="C2" s="1"/>
      <c r="D2" s="1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1"/>
      <c r="T2" s="1"/>
      <c r="U2" s="17"/>
      <c r="V2" s="1"/>
      <c r="W2" s="1"/>
      <c r="X2" s="14"/>
    </row>
    <row r="3" spans="1:24" x14ac:dyDescent="0.25">
      <c r="A3" s="1"/>
      <c r="B3" s="15"/>
      <c r="C3" s="18"/>
      <c r="D3" s="18"/>
      <c r="E3" s="18"/>
      <c r="F3" s="77" t="s">
        <v>62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1"/>
      <c r="S3" s="1"/>
      <c r="T3" s="1"/>
      <c r="U3" s="17"/>
      <c r="V3" s="1"/>
      <c r="W3" s="1"/>
      <c r="X3" s="14"/>
    </row>
    <row r="4" spans="1:24" x14ac:dyDescent="0.25">
      <c r="A4" s="1"/>
      <c r="B4" s="15"/>
      <c r="C4" s="18"/>
      <c r="D4" s="18"/>
      <c r="E4" s="18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1"/>
      <c r="S4" s="1"/>
      <c r="T4" s="1"/>
      <c r="U4" s="17"/>
      <c r="V4" s="1"/>
      <c r="W4" s="1"/>
      <c r="X4" s="14"/>
    </row>
    <row r="5" spans="1:24" x14ac:dyDescent="0.25">
      <c r="A5" s="1"/>
      <c r="B5" s="15"/>
      <c r="C5" s="19"/>
      <c r="D5" s="1"/>
      <c r="E5" s="78"/>
      <c r="F5" s="78"/>
      <c r="G5" s="78"/>
      <c r="H5" s="79" t="s">
        <v>63</v>
      </c>
      <c r="I5" s="79"/>
      <c r="J5" s="79"/>
      <c r="K5" s="79"/>
      <c r="L5" s="79"/>
      <c r="M5" s="79"/>
      <c r="N5" s="1"/>
      <c r="O5" s="1"/>
      <c r="P5" s="1"/>
      <c r="Q5" s="1"/>
      <c r="R5" s="1"/>
      <c r="S5" s="1"/>
      <c r="T5" s="1"/>
      <c r="U5" s="17"/>
      <c r="V5" s="1"/>
      <c r="W5" s="1"/>
      <c r="X5" s="14"/>
    </row>
    <row r="6" spans="1:24" x14ac:dyDescent="0.25">
      <c r="A6" s="1"/>
      <c r="B6" s="20"/>
      <c r="C6" s="19"/>
      <c r="D6" s="1"/>
      <c r="E6" s="21"/>
      <c r="F6" s="21"/>
      <c r="G6" s="21"/>
      <c r="H6" s="79"/>
      <c r="I6" s="79"/>
      <c r="J6" s="79"/>
      <c r="K6" s="79"/>
      <c r="L6" s="79"/>
      <c r="M6" s="79"/>
      <c r="N6" s="1"/>
      <c r="O6" s="1"/>
      <c r="P6" s="1"/>
      <c r="Q6" s="1"/>
      <c r="R6" s="1"/>
      <c r="S6" s="1"/>
      <c r="T6" s="1"/>
      <c r="U6" s="8"/>
      <c r="V6" s="1"/>
      <c r="W6" s="1"/>
      <c r="X6" s="14"/>
    </row>
    <row r="7" spans="1:24" x14ac:dyDescent="0.25">
      <c r="A7" s="1"/>
      <c r="B7" s="74" t="s">
        <v>64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5" t="s">
        <v>65</v>
      </c>
      <c r="N7" s="75"/>
      <c r="O7" s="75"/>
      <c r="P7" s="80" t="s">
        <v>66</v>
      </c>
      <c r="Q7" s="81"/>
      <c r="R7" s="82"/>
      <c r="S7" s="22" t="s">
        <v>67</v>
      </c>
      <c r="T7" s="23" t="s">
        <v>68</v>
      </c>
      <c r="U7" s="22" t="s">
        <v>69</v>
      </c>
      <c r="V7" s="24"/>
      <c r="W7" s="24"/>
      <c r="X7" s="14"/>
    </row>
    <row r="8" spans="1:24" x14ac:dyDescent="0.25">
      <c r="A8" s="1"/>
      <c r="B8" s="83" t="s">
        <v>153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75"/>
      <c r="N8" s="75"/>
      <c r="O8" s="75"/>
      <c r="P8" s="74" t="s">
        <v>114</v>
      </c>
      <c r="Q8" s="74"/>
      <c r="R8" s="74"/>
      <c r="S8" s="22"/>
      <c r="T8" s="23"/>
      <c r="U8" s="22"/>
      <c r="V8" s="24"/>
      <c r="W8" s="24"/>
      <c r="X8" s="14"/>
    </row>
    <row r="9" spans="1:24" x14ac:dyDescent="0.25">
      <c r="A9" s="1"/>
      <c r="B9" s="80" t="s">
        <v>70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74" t="s">
        <v>71</v>
      </c>
      <c r="R9" s="74"/>
      <c r="S9" s="74"/>
      <c r="T9" s="74"/>
      <c r="U9" s="25" t="s">
        <v>72</v>
      </c>
      <c r="V9" s="24"/>
      <c r="W9" s="1"/>
      <c r="X9" s="14"/>
    </row>
    <row r="10" spans="1:24" x14ac:dyDescent="0.25">
      <c r="A10" s="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22"/>
      <c r="V10" s="1"/>
      <c r="W10" s="1"/>
      <c r="X10" s="14"/>
    </row>
    <row r="11" spans="1:24" x14ac:dyDescent="0.25">
      <c r="A11" s="1"/>
      <c r="B11" s="80" t="s">
        <v>73</v>
      </c>
      <c r="C11" s="81"/>
      <c r="D11" s="81"/>
      <c r="E11" s="81"/>
      <c r="F11" s="81"/>
      <c r="G11" s="81"/>
      <c r="H11" s="81"/>
      <c r="I11" s="81"/>
      <c r="J11" s="81"/>
      <c r="K11" s="82"/>
      <c r="L11" s="84" t="s">
        <v>74</v>
      </c>
      <c r="M11" s="85"/>
      <c r="N11" s="86" t="s">
        <v>75</v>
      </c>
      <c r="O11" s="87"/>
      <c r="P11" s="80" t="s">
        <v>76</v>
      </c>
      <c r="Q11" s="81"/>
      <c r="R11" s="81"/>
      <c r="S11" s="82"/>
      <c r="T11" s="26" t="s">
        <v>77</v>
      </c>
      <c r="U11" s="27"/>
      <c r="V11" s="28"/>
      <c r="W11" s="1"/>
      <c r="X11" s="14"/>
    </row>
    <row r="12" spans="1:24" x14ac:dyDescent="0.25">
      <c r="A12" s="1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9" t="s">
        <v>155</v>
      </c>
      <c r="M12" s="90"/>
      <c r="N12" s="86" t="s">
        <v>154</v>
      </c>
      <c r="O12" s="87"/>
      <c r="P12" s="74" t="s">
        <v>115</v>
      </c>
      <c r="Q12" s="74"/>
      <c r="R12" s="74"/>
      <c r="S12" s="74"/>
      <c r="T12" s="75" t="s">
        <v>113</v>
      </c>
      <c r="U12" s="75"/>
      <c r="V12" s="1"/>
      <c r="W12" s="1"/>
      <c r="X12" s="14"/>
    </row>
    <row r="13" spans="1:24" x14ac:dyDescent="0.25">
      <c r="A13" s="1"/>
      <c r="B13" s="80" t="s">
        <v>78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  <c r="N13" s="74" t="s">
        <v>79</v>
      </c>
      <c r="O13" s="74"/>
      <c r="P13" s="74"/>
      <c r="Q13" s="74"/>
      <c r="R13" s="74"/>
      <c r="S13" s="74"/>
      <c r="T13" s="74"/>
      <c r="U13" s="25" t="s">
        <v>80</v>
      </c>
      <c r="V13" s="28"/>
      <c r="W13" s="1"/>
      <c r="X13" s="14"/>
    </row>
    <row r="14" spans="1:24" ht="15.75" thickBot="1" x14ac:dyDescent="0.3">
      <c r="A14" s="1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 t="s">
        <v>156</v>
      </c>
      <c r="O14" s="88"/>
      <c r="P14" s="88"/>
      <c r="Q14" s="88"/>
      <c r="R14" s="88"/>
      <c r="S14" s="88"/>
      <c r="T14" s="88"/>
      <c r="U14" s="29">
        <v>777777</v>
      </c>
      <c r="V14" s="1"/>
      <c r="W14" s="1"/>
      <c r="X14" s="14"/>
    </row>
    <row r="15" spans="1:24" ht="15.75" thickBot="1" x14ac:dyDescent="0.3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2"/>
      <c r="V15" s="1"/>
      <c r="W15" s="1"/>
      <c r="X15" s="14"/>
    </row>
    <row r="16" spans="1:24" x14ac:dyDescent="0.25">
      <c r="A16" s="1"/>
      <c r="B16" s="91" t="s">
        <v>81</v>
      </c>
      <c r="C16" s="91" t="s">
        <v>82</v>
      </c>
      <c r="D16" s="93" t="s">
        <v>83</v>
      </c>
      <c r="E16" s="93" t="s">
        <v>84</v>
      </c>
      <c r="F16" s="93"/>
      <c r="G16" s="93"/>
      <c r="H16" s="93"/>
      <c r="I16" s="95" t="s">
        <v>85</v>
      </c>
      <c r="J16" s="95"/>
      <c r="K16" s="95"/>
      <c r="L16" s="95"/>
      <c r="M16" s="95"/>
      <c r="N16" s="96" t="s">
        <v>86</v>
      </c>
      <c r="O16" s="96"/>
      <c r="P16" s="96"/>
      <c r="Q16" s="96"/>
      <c r="R16" s="96"/>
      <c r="S16" s="96"/>
      <c r="T16" s="96"/>
      <c r="U16" s="96"/>
      <c r="V16" s="1"/>
      <c r="W16" s="1"/>
      <c r="X16" s="14"/>
    </row>
    <row r="17" spans="1:24" ht="30" x14ac:dyDescent="0.25">
      <c r="A17" s="1"/>
      <c r="B17" s="92"/>
      <c r="C17" s="92"/>
      <c r="D17" s="94"/>
      <c r="E17" s="94"/>
      <c r="F17" s="94"/>
      <c r="G17" s="94"/>
      <c r="H17" s="94"/>
      <c r="I17" s="33" t="s">
        <v>87</v>
      </c>
      <c r="J17" s="33" t="s">
        <v>88</v>
      </c>
      <c r="K17" s="34" t="s">
        <v>89</v>
      </c>
      <c r="L17" s="34" t="s">
        <v>90</v>
      </c>
      <c r="M17" s="34" t="s">
        <v>91</v>
      </c>
      <c r="N17" s="35" t="s">
        <v>92</v>
      </c>
      <c r="O17" s="35" t="s">
        <v>93</v>
      </c>
      <c r="P17" s="35" t="s">
        <v>94</v>
      </c>
      <c r="Q17" s="34" t="s">
        <v>95</v>
      </c>
      <c r="R17" s="35" t="s">
        <v>96</v>
      </c>
      <c r="S17" s="35" t="s">
        <v>97</v>
      </c>
      <c r="T17" s="35" t="s">
        <v>98</v>
      </c>
      <c r="U17" s="36" t="s">
        <v>99</v>
      </c>
      <c r="V17" s="1"/>
      <c r="W17" s="1"/>
      <c r="X17" s="14"/>
    </row>
    <row r="18" spans="1:24" x14ac:dyDescent="0.25">
      <c r="A18" s="1"/>
      <c r="B18" s="3"/>
      <c r="C18" s="3"/>
      <c r="D18" s="3"/>
      <c r="E18" s="73" t="str">
        <f>MENSUAL!B8</f>
        <v xml:space="preserve">Alas Marlon Figueroa </v>
      </c>
      <c r="F18" s="73"/>
      <c r="G18" s="73"/>
      <c r="H18" s="73"/>
      <c r="I18" s="37">
        <f>MENSUAL!L8</f>
        <v>512.5</v>
      </c>
      <c r="J18" s="37">
        <v>8</v>
      </c>
      <c r="K18" s="37">
        <f>MENSUAL!G8</f>
        <v>30</v>
      </c>
      <c r="L18" s="3"/>
      <c r="M18" s="3"/>
      <c r="O18" s="3">
        <v>8</v>
      </c>
      <c r="P18" s="3">
        <v>30</v>
      </c>
      <c r="Q18" s="3"/>
      <c r="R18" s="3"/>
      <c r="S18" s="46">
        <f>I18*7.5%</f>
        <v>38.4375</v>
      </c>
      <c r="T18" s="46">
        <f>I18*3%</f>
        <v>15.375</v>
      </c>
      <c r="U18" s="3">
        <f t="shared" ref="U18:U25" si="0">S18+T18</f>
        <v>53.8125</v>
      </c>
      <c r="V18" s="1"/>
      <c r="W18" s="1"/>
      <c r="X18" s="14"/>
    </row>
    <row r="19" spans="1:24" x14ac:dyDescent="0.25">
      <c r="A19" s="1"/>
      <c r="B19" s="3"/>
      <c r="C19" s="3"/>
      <c r="D19" s="3"/>
      <c r="E19" s="73" t="str">
        <f>MENSUAL!B9</f>
        <v xml:space="preserve">Mendez Juan  Adalberto </v>
      </c>
      <c r="F19" s="73"/>
      <c r="G19" s="73"/>
      <c r="H19" s="73"/>
      <c r="I19" s="37">
        <f>MENSUAL!L9</f>
        <v>1125</v>
      </c>
      <c r="J19" s="37">
        <v>8</v>
      </c>
      <c r="K19" s="37">
        <f>MENSUAL!G9</f>
        <v>30</v>
      </c>
      <c r="L19" s="3"/>
      <c r="M19" s="3"/>
      <c r="O19" s="3">
        <v>8</v>
      </c>
      <c r="P19" s="3">
        <v>30</v>
      </c>
      <c r="Q19" s="3"/>
      <c r="R19" s="3"/>
      <c r="S19" s="46">
        <f t="shared" ref="S19:S24" si="1">I19*7.5%</f>
        <v>84.375</v>
      </c>
      <c r="T19" s="46">
        <f t="shared" ref="T19:T24" si="2">I19*3%</f>
        <v>33.75</v>
      </c>
      <c r="U19" s="3">
        <f t="shared" si="0"/>
        <v>118.125</v>
      </c>
      <c r="V19" s="1"/>
      <c r="W19" s="1"/>
      <c r="X19" s="14"/>
    </row>
    <row r="20" spans="1:24" x14ac:dyDescent="0.25">
      <c r="A20" s="1"/>
      <c r="B20" s="3"/>
      <c r="C20" s="3"/>
      <c r="D20" s="3"/>
      <c r="E20" s="73" t="str">
        <f>MENSUAL!B10</f>
        <v>Lopez Monge Julio Carlos</v>
      </c>
      <c r="F20" s="73"/>
      <c r="G20" s="73"/>
      <c r="H20" s="73"/>
      <c r="I20" s="37">
        <f>MENSUAL!L10</f>
        <v>1000</v>
      </c>
      <c r="J20" s="37">
        <v>8</v>
      </c>
      <c r="K20" s="37">
        <f>MENSUAL!G10</f>
        <v>30</v>
      </c>
      <c r="L20" s="3"/>
      <c r="M20" s="3"/>
      <c r="O20" s="3">
        <v>8</v>
      </c>
      <c r="P20" s="3">
        <v>30</v>
      </c>
      <c r="Q20" s="3"/>
      <c r="R20" s="3"/>
      <c r="S20" s="46">
        <f t="shared" si="1"/>
        <v>75</v>
      </c>
      <c r="T20" s="46">
        <f t="shared" si="2"/>
        <v>30</v>
      </c>
      <c r="U20" s="3">
        <f t="shared" si="0"/>
        <v>105</v>
      </c>
      <c r="V20" s="1"/>
      <c r="W20" s="1"/>
      <c r="X20" s="14"/>
    </row>
    <row r="21" spans="1:24" x14ac:dyDescent="0.25">
      <c r="A21" s="1"/>
      <c r="B21" s="3"/>
      <c r="C21" s="3"/>
      <c r="D21" s="3"/>
      <c r="E21" s="73" t="str">
        <f>MENSUAL!B11</f>
        <v xml:space="preserve">Menjivar Rauda Meybel Elizabeth </v>
      </c>
      <c r="F21" s="73"/>
      <c r="G21" s="73"/>
      <c r="H21" s="73"/>
      <c r="I21" s="37">
        <f>MENSUAL!L11</f>
        <v>1000.0000000000001</v>
      </c>
      <c r="J21" s="37">
        <v>8</v>
      </c>
      <c r="K21" s="37">
        <f>MENSUAL!G11</f>
        <v>30</v>
      </c>
      <c r="L21" s="3"/>
      <c r="M21" s="3"/>
      <c r="O21" s="3">
        <v>8</v>
      </c>
      <c r="P21" s="3">
        <v>30</v>
      </c>
      <c r="Q21" s="3"/>
      <c r="R21" s="3"/>
      <c r="S21" s="46">
        <f t="shared" si="1"/>
        <v>75</v>
      </c>
      <c r="T21" s="46">
        <f t="shared" si="2"/>
        <v>30.000000000000004</v>
      </c>
      <c r="U21" s="3">
        <f t="shared" si="0"/>
        <v>105</v>
      </c>
      <c r="V21" s="1"/>
      <c r="W21" s="1"/>
      <c r="X21" s="14"/>
    </row>
    <row r="22" spans="1:24" x14ac:dyDescent="0.25">
      <c r="A22" s="1"/>
      <c r="B22" s="3"/>
      <c r="C22" s="3"/>
      <c r="D22" s="3"/>
      <c r="E22" s="73" t="str">
        <f>MENSUAL!B12</f>
        <v>Monge Rivera Alexander Pedro</v>
      </c>
      <c r="F22" s="73"/>
      <c r="G22" s="73"/>
      <c r="H22" s="73"/>
      <c r="I22" s="37">
        <f>MENSUAL!L12</f>
        <v>450</v>
      </c>
      <c r="J22" s="37">
        <v>8</v>
      </c>
      <c r="K22" s="37">
        <f>MENSUAL!G12</f>
        <v>30</v>
      </c>
      <c r="L22" s="3"/>
      <c r="M22" s="3"/>
      <c r="O22" s="3">
        <v>8</v>
      </c>
      <c r="P22" s="3">
        <v>30</v>
      </c>
      <c r="Q22" s="3"/>
      <c r="R22" s="3"/>
      <c r="S22" s="46">
        <f t="shared" si="1"/>
        <v>33.75</v>
      </c>
      <c r="T22" s="46">
        <f t="shared" si="2"/>
        <v>13.5</v>
      </c>
      <c r="U22" s="3">
        <f t="shared" si="0"/>
        <v>47.25</v>
      </c>
      <c r="V22" s="1"/>
      <c r="W22" s="1"/>
      <c r="X22" s="14"/>
    </row>
    <row r="23" spans="1:24" x14ac:dyDescent="0.25">
      <c r="A23" s="1"/>
      <c r="B23" s="3"/>
      <c r="C23" s="3"/>
      <c r="D23" s="3"/>
      <c r="E23" s="73" t="str">
        <f>MENSUAL!B13</f>
        <v>Ceren Sanchez Clavel Rosa</v>
      </c>
      <c r="F23" s="73"/>
      <c r="G23" s="73"/>
      <c r="H23" s="73"/>
      <c r="I23" s="37">
        <f>MENSUAL!L13</f>
        <v>560</v>
      </c>
      <c r="J23" s="37">
        <v>8</v>
      </c>
      <c r="K23" s="37">
        <f>MENSUAL!G13</f>
        <v>30</v>
      </c>
      <c r="L23" s="3"/>
      <c r="M23" s="3"/>
      <c r="O23" s="3">
        <v>8</v>
      </c>
      <c r="P23" s="3">
        <v>30</v>
      </c>
      <c r="Q23" s="3"/>
      <c r="R23" s="3"/>
      <c r="S23" s="46">
        <f t="shared" si="1"/>
        <v>42</v>
      </c>
      <c r="T23" s="46">
        <f t="shared" si="2"/>
        <v>16.8</v>
      </c>
      <c r="U23" s="3">
        <f t="shared" si="0"/>
        <v>58.8</v>
      </c>
      <c r="V23" s="1"/>
      <c r="W23" s="1"/>
      <c r="X23" s="14"/>
    </row>
    <row r="24" spans="1:24" x14ac:dyDescent="0.25">
      <c r="A24" s="1"/>
      <c r="B24" s="3"/>
      <c r="C24" s="3"/>
      <c r="D24" s="3"/>
      <c r="E24" s="73" t="str">
        <f>MENSUAL!B14</f>
        <v>Sanchez Marina de Guerra</v>
      </c>
      <c r="F24" s="73"/>
      <c r="G24" s="73"/>
      <c r="H24" s="73"/>
      <c r="I24" s="37">
        <f>MENSUAL!L14</f>
        <v>850</v>
      </c>
      <c r="J24" s="37">
        <v>8</v>
      </c>
      <c r="K24" s="37">
        <f>MENSUAL!G14</f>
        <v>30</v>
      </c>
      <c r="L24" s="3"/>
      <c r="M24" s="3"/>
      <c r="O24" s="3">
        <v>8</v>
      </c>
      <c r="P24" s="3">
        <v>30</v>
      </c>
      <c r="Q24" s="3"/>
      <c r="R24" s="3"/>
      <c r="S24" s="46">
        <f t="shared" si="1"/>
        <v>63.75</v>
      </c>
      <c r="T24" s="46">
        <f t="shared" si="2"/>
        <v>25.5</v>
      </c>
      <c r="U24" s="3">
        <f t="shared" si="0"/>
        <v>89.25</v>
      </c>
      <c r="V24" s="1"/>
      <c r="W24" s="1"/>
      <c r="X24" s="14"/>
    </row>
    <row r="25" spans="1:24" x14ac:dyDescent="0.25">
      <c r="A25" s="1"/>
      <c r="B25" s="3"/>
      <c r="C25" s="3"/>
      <c r="D25" s="3"/>
      <c r="E25" s="73"/>
      <c r="F25" s="73"/>
      <c r="G25" s="73"/>
      <c r="H25" s="7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f t="shared" ref="S25" si="3">N25*3%</f>
        <v>0</v>
      </c>
      <c r="T25" s="3">
        <f t="shared" ref="T25" si="4">N25*7.5%</f>
        <v>0</v>
      </c>
      <c r="U25" s="3">
        <f t="shared" si="0"/>
        <v>0</v>
      </c>
      <c r="V25" s="1"/>
      <c r="W25" s="1"/>
      <c r="X25" s="14"/>
    </row>
    <row r="26" spans="1:24" x14ac:dyDescent="0.25">
      <c r="A26" s="1"/>
      <c r="B26" s="9"/>
      <c r="C26" s="9"/>
      <c r="D26" s="9"/>
      <c r="E26" s="9"/>
      <c r="F26" s="9"/>
      <c r="G26" s="9"/>
      <c r="H26" s="9"/>
      <c r="I26" s="97"/>
      <c r="J26" s="9"/>
      <c r="K26" s="9"/>
      <c r="L26" s="9"/>
      <c r="M26" s="9"/>
      <c r="N26" s="9"/>
      <c r="O26" s="9"/>
      <c r="P26" s="9"/>
      <c r="Q26" s="99" t="s">
        <v>100</v>
      </c>
      <c r="R26" s="100"/>
      <c r="S26" s="75">
        <f>S18+S19+S20+S21+S22+S23+S24+S25</f>
        <v>412.3125</v>
      </c>
      <c r="T26" s="75">
        <f>T18+T19+T20+T21+T22+T23+T24+T25</f>
        <v>164.92500000000001</v>
      </c>
      <c r="U26" s="75">
        <f>U18+U19+U20+U21+U22+U23+U24+U25</f>
        <v>577.23749999999995</v>
      </c>
      <c r="V26" s="1"/>
      <c r="W26" s="1"/>
      <c r="X26" s="14"/>
    </row>
    <row r="27" spans="1:24" x14ac:dyDescent="0.25">
      <c r="A27" s="1"/>
      <c r="B27" s="9"/>
      <c r="C27" s="9"/>
      <c r="D27" s="9"/>
      <c r="E27" s="9"/>
      <c r="F27" s="9"/>
      <c r="G27" s="9"/>
      <c r="H27" s="9"/>
      <c r="I27" s="98"/>
      <c r="J27" s="9"/>
      <c r="K27" s="9"/>
      <c r="L27" s="9"/>
      <c r="M27" s="9"/>
      <c r="N27" s="9"/>
      <c r="O27" s="9"/>
      <c r="P27" s="9"/>
      <c r="Q27" s="101"/>
      <c r="R27" s="102"/>
      <c r="S27" s="75"/>
      <c r="T27" s="75"/>
      <c r="U27" s="75"/>
      <c r="V27" s="1"/>
      <c r="W27" s="1"/>
      <c r="X27" s="14"/>
    </row>
    <row r="28" spans="1:24" x14ac:dyDescent="0.2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"/>
      <c r="W28" s="1"/>
      <c r="X28" s="14"/>
    </row>
    <row r="29" spans="1:24" x14ac:dyDescent="0.2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"/>
      <c r="W29" s="1"/>
      <c r="X29" s="14"/>
    </row>
    <row r="30" spans="1:24" x14ac:dyDescent="0.2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"/>
      <c r="W30" s="1"/>
      <c r="X30" s="14"/>
    </row>
    <row r="31" spans="1:24" x14ac:dyDescent="0.2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 t="s">
        <v>101</v>
      </c>
      <c r="P31" s="1"/>
      <c r="Q31" s="9"/>
      <c r="R31" s="9"/>
      <c r="S31" s="9"/>
      <c r="T31" s="9"/>
      <c r="U31" s="9"/>
      <c r="V31" s="1"/>
      <c r="W31" s="1"/>
      <c r="X31" s="14"/>
    </row>
    <row r="32" spans="1:24" x14ac:dyDescent="0.2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/>
      <c r="P32" s="1"/>
      <c r="Q32" s="9"/>
      <c r="R32" s="9"/>
      <c r="S32" s="9"/>
      <c r="T32" s="9"/>
      <c r="U32" s="7"/>
      <c r="V32" s="1"/>
      <c r="W32" s="1"/>
      <c r="X32" s="14"/>
    </row>
    <row r="33" spans="1:24" x14ac:dyDescent="0.2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"/>
      <c r="V33" s="1"/>
      <c r="W33" s="1"/>
      <c r="X33" s="14"/>
    </row>
  </sheetData>
  <mergeCells count="46">
    <mergeCell ref="T26:T27"/>
    <mergeCell ref="U26:U27"/>
    <mergeCell ref="E23:H23"/>
    <mergeCell ref="E24:H24"/>
    <mergeCell ref="E25:H25"/>
    <mergeCell ref="I26:I27"/>
    <mergeCell ref="Q26:R27"/>
    <mergeCell ref="S26:S27"/>
    <mergeCell ref="E22:H22"/>
    <mergeCell ref="T12:U12"/>
    <mergeCell ref="B13:M13"/>
    <mergeCell ref="N13:T13"/>
    <mergeCell ref="B14:M14"/>
    <mergeCell ref="N14:T14"/>
    <mergeCell ref="B16:B17"/>
    <mergeCell ref="C16:C17"/>
    <mergeCell ref="D16:D17"/>
    <mergeCell ref="E16:H17"/>
    <mergeCell ref="I16:M16"/>
    <mergeCell ref="N16:U16"/>
    <mergeCell ref="E18:H18"/>
    <mergeCell ref="E19:H19"/>
    <mergeCell ref="E20:H20"/>
    <mergeCell ref="E21:H21"/>
    <mergeCell ref="B11:K11"/>
    <mergeCell ref="L11:M11"/>
    <mergeCell ref="N11:O11"/>
    <mergeCell ref="P11:S11"/>
    <mergeCell ref="B12:K12"/>
    <mergeCell ref="L12:M12"/>
    <mergeCell ref="N12:O12"/>
    <mergeCell ref="P12:S12"/>
    <mergeCell ref="B10:P10"/>
    <mergeCell ref="Q10:T10"/>
    <mergeCell ref="E1:R2"/>
    <mergeCell ref="F3:Q4"/>
    <mergeCell ref="E5:G5"/>
    <mergeCell ref="H5:M6"/>
    <mergeCell ref="B7:L7"/>
    <mergeCell ref="M7:O7"/>
    <mergeCell ref="P7:R7"/>
    <mergeCell ref="B8:L8"/>
    <mergeCell ref="M8:O8"/>
    <mergeCell ref="P8:R8"/>
    <mergeCell ref="B9:P9"/>
    <mergeCell ref="Q9:T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0"/>
  <sheetViews>
    <sheetView zoomScale="98" zoomScaleNormal="98" workbookViewId="0">
      <selection activeCell="A15" sqref="A15"/>
    </sheetView>
  </sheetViews>
  <sheetFormatPr baseColWidth="10" defaultRowHeight="15" x14ac:dyDescent="0.25"/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0</v>
      </c>
      <c r="X1" s="1"/>
      <c r="Y1" s="1"/>
    </row>
    <row r="2" spans="1:25" ht="15.75" customHeight="1" x14ac:dyDescent="0.25">
      <c r="A2" s="1"/>
      <c r="B2" s="2"/>
      <c r="C2" s="1"/>
      <c r="D2" s="104" t="s">
        <v>1</v>
      </c>
      <c r="E2" s="104"/>
      <c r="F2" s="104"/>
      <c r="G2" s="104"/>
      <c r="H2" s="104"/>
      <c r="I2" s="10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05" t="s">
        <v>2</v>
      </c>
      <c r="X2" s="105"/>
      <c r="Y2" s="105"/>
    </row>
    <row r="3" spans="1:25" ht="15" customHeight="1" x14ac:dyDescent="0.25">
      <c r="A3" s="1"/>
      <c r="B3" s="1"/>
      <c r="C3" s="1"/>
      <c r="D3" s="1"/>
      <c r="E3" s="106" t="s">
        <v>3</v>
      </c>
      <c r="F3" s="106"/>
      <c r="G3" s="1" t="s">
        <v>4</v>
      </c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05"/>
      <c r="X3" s="105"/>
      <c r="Y3" s="105"/>
    </row>
    <row r="4" spans="1:25" x14ac:dyDescent="0.25">
      <c r="A4" s="1"/>
      <c r="B4" s="1"/>
      <c r="C4" s="1"/>
      <c r="D4" s="1"/>
      <c r="E4" s="106" t="s">
        <v>5</v>
      </c>
      <c r="F4" s="106"/>
      <c r="G4" s="4" t="s">
        <v>6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07" t="s">
        <v>7</v>
      </c>
      <c r="B5" s="10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03" t="s">
        <v>8</v>
      </c>
      <c r="B6" s="103"/>
      <c r="C6" s="103" t="s">
        <v>9</v>
      </c>
      <c r="D6" s="103"/>
      <c r="E6" s="103"/>
      <c r="F6" s="103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08" t="s">
        <v>10</v>
      </c>
      <c r="B7" s="109"/>
      <c r="C7" s="112" t="s">
        <v>11</v>
      </c>
      <c r="D7" s="113"/>
      <c r="E7" s="114" t="s">
        <v>12</v>
      </c>
      <c r="F7" s="115"/>
      <c r="G7" s="6"/>
      <c r="H7" s="116" t="s">
        <v>13</v>
      </c>
      <c r="I7" s="116"/>
      <c r="J7" s="116"/>
      <c r="K7" s="116"/>
      <c r="L7" s="116"/>
      <c r="M7" s="116"/>
      <c r="N7" s="116"/>
      <c r="O7" s="116"/>
      <c r="P7" s="117" t="s">
        <v>14</v>
      </c>
      <c r="Q7" s="118"/>
      <c r="R7" s="118"/>
      <c r="S7" s="118"/>
      <c r="T7" s="118"/>
      <c r="U7" s="118"/>
      <c r="V7" s="118"/>
      <c r="W7" s="118"/>
      <c r="X7" s="118"/>
      <c r="Y7" s="119"/>
    </row>
    <row r="8" spans="1:25" x14ac:dyDescent="0.25">
      <c r="A8" s="110"/>
      <c r="B8" s="111"/>
      <c r="C8" s="120" t="s">
        <v>15</v>
      </c>
      <c r="D8" s="121"/>
      <c r="E8" s="7"/>
      <c r="F8" s="8"/>
      <c r="G8" s="9"/>
      <c r="H8" s="116" t="s">
        <v>16</v>
      </c>
      <c r="I8" s="116"/>
      <c r="J8" s="116"/>
      <c r="K8" s="116"/>
      <c r="L8" s="116"/>
      <c r="M8" s="116"/>
      <c r="N8" s="116"/>
      <c r="O8" s="116"/>
      <c r="P8" s="122"/>
      <c r="Q8" s="122"/>
      <c r="R8" s="122"/>
      <c r="S8" s="122"/>
      <c r="T8" s="122"/>
      <c r="U8" s="122"/>
      <c r="V8" s="122"/>
      <c r="W8" s="116" t="s">
        <v>17</v>
      </c>
      <c r="X8" s="116"/>
      <c r="Y8" s="116"/>
    </row>
    <row r="9" spans="1:25" x14ac:dyDescent="0.25">
      <c r="A9" s="123" t="s">
        <v>18</v>
      </c>
      <c r="B9" s="123"/>
      <c r="C9" s="112" t="s">
        <v>19</v>
      </c>
      <c r="D9" s="113"/>
      <c r="E9" s="114" t="s">
        <v>20</v>
      </c>
      <c r="F9" s="115"/>
      <c r="G9" s="6"/>
      <c r="H9" s="122" t="s">
        <v>21</v>
      </c>
      <c r="I9" s="122"/>
      <c r="J9" s="116" t="s">
        <v>22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</row>
    <row r="10" spans="1:25" x14ac:dyDescent="0.25">
      <c r="A10" s="123"/>
      <c r="B10" s="123"/>
      <c r="C10" s="124" t="s">
        <v>23</v>
      </c>
      <c r="D10" s="125"/>
      <c r="E10" s="7"/>
      <c r="F10" s="8"/>
      <c r="G10" s="9"/>
      <c r="H10" s="116" t="s">
        <v>24</v>
      </c>
      <c r="I10" s="116"/>
      <c r="J10" s="116" t="s">
        <v>25</v>
      </c>
      <c r="K10" s="116"/>
      <c r="L10" s="116"/>
      <c r="M10" s="116"/>
      <c r="N10" s="116"/>
      <c r="O10" s="116"/>
      <c r="P10" s="116" t="s">
        <v>26</v>
      </c>
      <c r="Q10" s="116"/>
      <c r="R10" s="116"/>
      <c r="S10" s="116"/>
      <c r="T10" s="116"/>
      <c r="U10" s="116"/>
      <c r="V10" s="116"/>
      <c r="W10" s="116"/>
      <c r="X10" s="116"/>
      <c r="Y10" s="116"/>
    </row>
    <row r="11" spans="1:25" ht="12.75" customHeight="1" x14ac:dyDescent="0.25">
      <c r="A11" s="10"/>
      <c r="B11" s="10"/>
      <c r="C11" s="11"/>
      <c r="D11" s="11"/>
      <c r="E11" s="9"/>
      <c r="F11" s="9"/>
      <c r="G11" s="9"/>
      <c r="H11" s="116"/>
      <c r="I11" s="116"/>
      <c r="J11" s="116"/>
      <c r="K11" s="116"/>
      <c r="L11" s="116"/>
      <c r="M11" s="116"/>
      <c r="N11" s="116"/>
      <c r="O11" s="116"/>
      <c r="P11" s="116" t="s">
        <v>27</v>
      </c>
      <c r="Q11" s="116"/>
      <c r="R11" s="116"/>
      <c r="S11" s="116"/>
      <c r="T11" s="116"/>
      <c r="U11" s="116"/>
      <c r="V11" s="116"/>
      <c r="W11" s="116" t="s">
        <v>28</v>
      </c>
      <c r="X11" s="116"/>
      <c r="Y11" s="116"/>
    </row>
    <row r="12" spans="1:25" ht="22.5" customHeight="1" x14ac:dyDescent="0.25">
      <c r="A12" s="107" t="s">
        <v>29</v>
      </c>
      <c r="B12" s="10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4" customHeight="1" x14ac:dyDescent="0.25">
      <c r="A13" s="75"/>
      <c r="B13" s="126" t="s">
        <v>30</v>
      </c>
      <c r="C13" s="103" t="s">
        <v>31</v>
      </c>
      <c r="D13" s="103"/>
      <c r="E13" s="103" t="s">
        <v>32</v>
      </c>
      <c r="F13" s="103"/>
      <c r="G13" s="103"/>
      <c r="H13" s="103"/>
      <c r="I13" s="103"/>
      <c r="J13" s="103"/>
      <c r="K13" s="123" t="s">
        <v>33</v>
      </c>
      <c r="L13" s="123"/>
      <c r="M13" s="123"/>
      <c r="N13" s="123"/>
      <c r="O13" s="123"/>
      <c r="P13" s="123"/>
      <c r="Q13" s="123"/>
      <c r="R13" s="123"/>
      <c r="S13" s="123"/>
      <c r="T13" s="123" t="s">
        <v>34</v>
      </c>
      <c r="U13" s="123" t="s">
        <v>35</v>
      </c>
      <c r="V13" s="123" t="s">
        <v>36</v>
      </c>
      <c r="W13" s="123" t="s">
        <v>37</v>
      </c>
      <c r="X13" s="123" t="s">
        <v>38</v>
      </c>
      <c r="Y13" s="123" t="s">
        <v>39</v>
      </c>
    </row>
    <row r="14" spans="1:25" ht="50.25" customHeight="1" x14ac:dyDescent="0.25">
      <c r="A14" s="75"/>
      <c r="B14" s="126"/>
      <c r="C14" s="12" t="s">
        <v>40</v>
      </c>
      <c r="D14" s="12" t="s">
        <v>41</v>
      </c>
      <c r="E14" s="12" t="s">
        <v>42</v>
      </c>
      <c r="F14" s="12" t="s">
        <v>43</v>
      </c>
      <c r="G14" s="127" t="s">
        <v>44</v>
      </c>
      <c r="H14" s="128"/>
      <c r="I14" s="12" t="s">
        <v>45</v>
      </c>
      <c r="J14" s="12" t="s">
        <v>46</v>
      </c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 x14ac:dyDescent="0.25">
      <c r="A15" s="3">
        <v>1</v>
      </c>
      <c r="B15" s="3"/>
      <c r="C15" s="3"/>
      <c r="D15" s="3"/>
      <c r="F15" s="3"/>
      <c r="G15" s="86"/>
      <c r="H15" s="87"/>
      <c r="J15" s="3"/>
      <c r="K15" s="3">
        <v>1</v>
      </c>
      <c r="L15" s="3">
        <v>2</v>
      </c>
      <c r="M15" s="3">
        <v>3</v>
      </c>
      <c r="N15" s="3">
        <v>4</v>
      </c>
      <c r="O15" s="3">
        <v>5</v>
      </c>
      <c r="P15" s="3">
        <v>6</v>
      </c>
      <c r="Q15" s="3">
        <v>7</v>
      </c>
      <c r="R15" s="3">
        <v>8</v>
      </c>
      <c r="S15" s="3">
        <v>9</v>
      </c>
      <c r="T15" s="3"/>
      <c r="U15" s="3"/>
      <c r="V15" s="3"/>
      <c r="W15" s="3"/>
      <c r="X15" s="3"/>
      <c r="Y15" s="13">
        <f>V15*2.2%</f>
        <v>0</v>
      </c>
    </row>
    <row r="16" spans="1:25" x14ac:dyDescent="0.25">
      <c r="A16" s="3">
        <v>2</v>
      </c>
      <c r="B16" s="3"/>
      <c r="C16" s="3"/>
      <c r="D16" s="3"/>
      <c r="E16" s="3"/>
      <c r="F16" s="3"/>
      <c r="G16" s="86"/>
      <c r="H16" s="8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8</v>
      </c>
      <c r="U16" s="3">
        <v>30</v>
      </c>
      <c r="V16" s="38"/>
      <c r="W16" s="3"/>
      <c r="X16" s="3"/>
      <c r="Y16" s="46">
        <f>V16*2.2%</f>
        <v>0</v>
      </c>
    </row>
    <row r="17" spans="1:25" x14ac:dyDescent="0.25">
      <c r="A17" s="3">
        <v>3</v>
      </c>
      <c r="B17" s="3"/>
      <c r="C17" s="3"/>
      <c r="D17" s="3"/>
      <c r="E17" s="3"/>
      <c r="F17" s="3"/>
      <c r="G17" s="86"/>
      <c r="H17" s="8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8</v>
      </c>
      <c r="U17" s="3">
        <v>30</v>
      </c>
      <c r="V17" s="38"/>
      <c r="W17" s="3"/>
      <c r="X17" s="3"/>
      <c r="Y17" s="46">
        <f t="shared" ref="Y17:Y22" si="0">V17*2.2%</f>
        <v>0</v>
      </c>
    </row>
    <row r="18" spans="1:25" x14ac:dyDescent="0.25">
      <c r="A18" s="3">
        <v>4</v>
      </c>
      <c r="B18" s="3"/>
      <c r="C18" s="3"/>
      <c r="D18" s="3"/>
      <c r="E18" s="3"/>
      <c r="F18" s="3"/>
      <c r="G18" s="86"/>
      <c r="H18" s="8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8</v>
      </c>
      <c r="U18" s="3">
        <v>30</v>
      </c>
      <c r="V18" s="38"/>
      <c r="W18" s="3"/>
      <c r="X18" s="3"/>
      <c r="Y18" s="46">
        <f t="shared" si="0"/>
        <v>0</v>
      </c>
    </row>
    <row r="19" spans="1:25" x14ac:dyDescent="0.25">
      <c r="A19" s="3">
        <v>5</v>
      </c>
      <c r="B19" s="3"/>
      <c r="C19" s="3"/>
      <c r="D19" s="3"/>
      <c r="E19" s="3"/>
      <c r="F19" s="3"/>
      <c r="G19" s="86"/>
      <c r="H19" s="8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8</v>
      </c>
      <c r="U19" s="3">
        <v>30</v>
      </c>
      <c r="V19" s="38"/>
      <c r="W19" s="3"/>
      <c r="X19" s="3"/>
      <c r="Y19" s="46">
        <f t="shared" si="0"/>
        <v>0</v>
      </c>
    </row>
    <row r="20" spans="1:25" x14ac:dyDescent="0.25">
      <c r="A20" s="3">
        <v>6</v>
      </c>
      <c r="B20" s="3"/>
      <c r="C20" s="3"/>
      <c r="D20" s="3"/>
      <c r="E20" s="3"/>
      <c r="F20" s="3"/>
      <c r="G20" s="86"/>
      <c r="H20" s="8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8</v>
      </c>
      <c r="U20" s="3">
        <v>30</v>
      </c>
      <c r="V20" s="38"/>
      <c r="W20" s="3"/>
      <c r="X20" s="3"/>
      <c r="Y20" s="46">
        <f t="shared" si="0"/>
        <v>0</v>
      </c>
    </row>
    <row r="21" spans="1:25" x14ac:dyDescent="0.25">
      <c r="A21" s="3">
        <v>7</v>
      </c>
      <c r="B21" s="3"/>
      <c r="C21" s="3"/>
      <c r="D21" s="3"/>
      <c r="E21" s="3"/>
      <c r="F21" s="3"/>
      <c r="G21" s="86"/>
      <c r="H21" s="8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8</v>
      </c>
      <c r="U21" s="3">
        <v>30</v>
      </c>
      <c r="V21" s="38"/>
      <c r="W21" s="3"/>
      <c r="X21" s="3"/>
      <c r="Y21" s="46">
        <f t="shared" si="0"/>
        <v>0</v>
      </c>
    </row>
    <row r="22" spans="1:25" x14ac:dyDescent="0.25">
      <c r="A22" s="3">
        <v>8</v>
      </c>
      <c r="B22" s="3"/>
      <c r="C22" s="3"/>
      <c r="D22" s="3"/>
      <c r="E22" s="3"/>
      <c r="F22" s="3"/>
      <c r="G22" s="86"/>
      <c r="H22" s="8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8</v>
      </c>
      <c r="U22" s="3">
        <v>30</v>
      </c>
      <c r="V22" s="38"/>
      <c r="W22" s="3"/>
      <c r="X22" s="3"/>
      <c r="Y22" s="46">
        <f t="shared" si="0"/>
        <v>0</v>
      </c>
    </row>
    <row r="23" spans="1:25" x14ac:dyDescent="0.25">
      <c r="A23" s="3">
        <v>9</v>
      </c>
      <c r="B23" s="3"/>
      <c r="C23" s="3"/>
      <c r="D23" s="3"/>
      <c r="E23" s="3"/>
      <c r="F23" s="3"/>
      <c r="G23" s="86"/>
      <c r="H23" s="8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6">
        <f>V23*2.2%</f>
        <v>0</v>
      </c>
    </row>
    <row r="24" spans="1:25" x14ac:dyDescent="0.25">
      <c r="A24" s="3">
        <v>10</v>
      </c>
      <c r="B24" s="3"/>
      <c r="C24" s="3"/>
      <c r="D24" s="3"/>
      <c r="E24" s="3"/>
      <c r="F24" s="3"/>
      <c r="G24" s="86"/>
      <c r="H24" s="8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6">
        <f>V16+V17+V18+V19+V20+V21+V22</f>
        <v>0</v>
      </c>
      <c r="W24" s="3"/>
      <c r="X24" s="3"/>
      <c r="Y24" s="3">
        <f t="shared" ref="Y24" si="1">V24*2.2%</f>
        <v>0</v>
      </c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29" t="s">
        <v>47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</row>
    <row r="26" spans="1:25" x14ac:dyDescent="0.25">
      <c r="A26" s="1"/>
      <c r="B26" s="1"/>
      <c r="C26" s="1"/>
      <c r="D26" s="1"/>
      <c r="E26" s="1"/>
      <c r="F26" s="1"/>
      <c r="G26" s="1"/>
      <c r="H26" s="130" t="s">
        <v>48</v>
      </c>
      <c r="I26" s="131"/>
      <c r="J26" s="1"/>
      <c r="K26" s="80" t="s">
        <v>49</v>
      </c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  <c r="W26" s="75" t="e">
        <f>V15+#REF!+#REF!+#REF!+#REF!+#REF!+#REF!+#REF!+V23+V24</f>
        <v>#REF!</v>
      </c>
      <c r="X26" s="75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32"/>
      <c r="I27" s="133"/>
      <c r="J27" s="1"/>
      <c r="K27" s="74" t="s">
        <v>50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136" t="e">
        <f>W26*10.3%</f>
        <v>#REF!</v>
      </c>
      <c r="X27" s="137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32"/>
      <c r="I28" s="133"/>
      <c r="J28" s="1"/>
      <c r="K28" s="74" t="s">
        <v>51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75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34"/>
      <c r="I29" s="135"/>
      <c r="J29" s="1"/>
      <c r="K29" s="80" t="s">
        <v>52</v>
      </c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/>
      <c r="W29" s="75"/>
      <c r="X29" s="75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40" t="s">
        <v>53</v>
      </c>
      <c r="I30" s="141"/>
      <c r="J30" s="1"/>
      <c r="K30" s="80" t="s">
        <v>54</v>
      </c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13" t="e">
        <f>W27</f>
        <v>#REF!</v>
      </c>
    </row>
    <row r="31" spans="1:25" x14ac:dyDescent="0.25">
      <c r="A31" s="1"/>
      <c r="B31" s="1"/>
      <c r="C31" s="1"/>
      <c r="D31" s="1"/>
      <c r="E31" s="1"/>
      <c r="F31" s="1"/>
      <c r="G31" s="1"/>
      <c r="H31" s="142"/>
      <c r="I31" s="143"/>
      <c r="J31" s="1"/>
      <c r="K31" s="80" t="s">
        <v>55</v>
      </c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2"/>
      <c r="Y31" s="13">
        <f>Y15+Y16+Y17+Y18+Y19+Y20+Y21+Y22+Y23+Y24</f>
        <v>0</v>
      </c>
    </row>
    <row r="32" spans="1:25" x14ac:dyDescent="0.25">
      <c r="A32" s="1"/>
      <c r="B32" s="1"/>
      <c r="C32" s="1"/>
      <c r="D32" s="1"/>
      <c r="E32" s="1"/>
      <c r="F32" s="1"/>
      <c r="G32" s="1"/>
      <c r="H32" s="142"/>
      <c r="I32" s="14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42"/>
      <c r="I33" s="143"/>
      <c r="J33" s="1"/>
      <c r="K33" s="127" t="s">
        <v>56</v>
      </c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28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42"/>
      <c r="I34" s="143"/>
      <c r="J34" s="1"/>
      <c r="K34" s="80" t="s">
        <v>57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  <c r="X34" s="3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42"/>
      <c r="I35" s="143"/>
      <c r="J35" s="1"/>
      <c r="K35" s="80" t="s">
        <v>58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3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42"/>
      <c r="I36" s="143"/>
      <c r="J36" s="1"/>
      <c r="K36" s="80" t="s">
        <v>59</v>
      </c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2"/>
      <c r="Y36" s="3"/>
    </row>
    <row r="37" spans="1:25" x14ac:dyDescent="0.25">
      <c r="A37" s="1"/>
      <c r="B37" s="1"/>
      <c r="C37" s="1"/>
      <c r="D37" s="1"/>
      <c r="E37" s="1"/>
      <c r="F37" s="1"/>
      <c r="G37" s="1"/>
      <c r="H37" s="142"/>
      <c r="I37" s="14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42"/>
      <c r="I38" s="14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customHeight="1" x14ac:dyDescent="0.25">
      <c r="A39" s="1"/>
      <c r="B39" s="1"/>
      <c r="C39" s="1"/>
      <c r="D39" s="1"/>
      <c r="E39" s="1"/>
      <c r="F39" s="1"/>
      <c r="G39" s="1"/>
      <c r="H39" s="142"/>
      <c r="I39" s="143"/>
      <c r="J39" s="1"/>
      <c r="K39" s="147" t="s">
        <v>60</v>
      </c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/>
      <c r="Y39" s="138" t="e">
        <f>Y30+Y31</f>
        <v>#REF!</v>
      </c>
    </row>
    <row r="40" spans="1:25" ht="15" customHeight="1" x14ac:dyDescent="0.25">
      <c r="A40" s="1"/>
      <c r="B40" s="1"/>
      <c r="C40" s="1"/>
      <c r="D40" s="1"/>
      <c r="E40" s="1"/>
      <c r="F40" s="1"/>
      <c r="G40" s="1"/>
      <c r="H40" s="144"/>
      <c r="I40" s="145"/>
      <c r="J40" s="1"/>
      <c r="K40" s="150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2"/>
      <c r="Y40" s="139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</sheetData>
  <mergeCells count="68">
    <mergeCell ref="Y39:Y40"/>
    <mergeCell ref="K29:V29"/>
    <mergeCell ref="W29:X29"/>
    <mergeCell ref="H30:I40"/>
    <mergeCell ref="K30:X30"/>
    <mergeCell ref="K31:X31"/>
    <mergeCell ref="K33:X33"/>
    <mergeCell ref="K34:W34"/>
    <mergeCell ref="K35:W35"/>
    <mergeCell ref="K36:X36"/>
    <mergeCell ref="K39:X40"/>
    <mergeCell ref="G23:H23"/>
    <mergeCell ref="G24:H24"/>
    <mergeCell ref="K25:Y25"/>
    <mergeCell ref="H26:I29"/>
    <mergeCell ref="K26:V26"/>
    <mergeCell ref="W26:X26"/>
    <mergeCell ref="K27:V27"/>
    <mergeCell ref="W27:X27"/>
    <mergeCell ref="K28:V28"/>
    <mergeCell ref="W28:X28"/>
    <mergeCell ref="W13:W14"/>
    <mergeCell ref="X13:X14"/>
    <mergeCell ref="Y13:Y14"/>
    <mergeCell ref="G14:H14"/>
    <mergeCell ref="G15:H15"/>
    <mergeCell ref="K13:S14"/>
    <mergeCell ref="T13:T14"/>
    <mergeCell ref="U13:U14"/>
    <mergeCell ref="V13:V14"/>
    <mergeCell ref="G22:H22"/>
    <mergeCell ref="G16:H16"/>
    <mergeCell ref="G17:H17"/>
    <mergeCell ref="G18:H18"/>
    <mergeCell ref="G19:H19"/>
    <mergeCell ref="G20:H20"/>
    <mergeCell ref="G21:H21"/>
    <mergeCell ref="A12:B12"/>
    <mergeCell ref="A13:A14"/>
    <mergeCell ref="B13:B14"/>
    <mergeCell ref="C13:D13"/>
    <mergeCell ref="E13:J13"/>
    <mergeCell ref="A9:B10"/>
    <mergeCell ref="C9:D9"/>
    <mergeCell ref="E9:F9"/>
    <mergeCell ref="H9:I9"/>
    <mergeCell ref="J9:Y9"/>
    <mergeCell ref="C10:D10"/>
    <mergeCell ref="H10:I11"/>
    <mergeCell ref="J10:O11"/>
    <mergeCell ref="P10:Y10"/>
    <mergeCell ref="P11:V11"/>
    <mergeCell ref="W11:Y11"/>
    <mergeCell ref="A7:B8"/>
    <mergeCell ref="C7:D7"/>
    <mergeCell ref="E7:F7"/>
    <mergeCell ref="H7:O7"/>
    <mergeCell ref="P7:Y7"/>
    <mergeCell ref="C8:D8"/>
    <mergeCell ref="H8:V8"/>
    <mergeCell ref="W8:Y8"/>
    <mergeCell ref="A6:B6"/>
    <mergeCell ref="C6:F6"/>
    <mergeCell ref="D2:I2"/>
    <mergeCell ref="W2:Y3"/>
    <mergeCell ref="E3:F3"/>
    <mergeCell ref="E4:F4"/>
    <mergeCell ref="A5:B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2:N21"/>
  <sheetViews>
    <sheetView workbookViewId="0">
      <selection activeCell="A8" sqref="A8"/>
    </sheetView>
  </sheetViews>
  <sheetFormatPr baseColWidth="10" defaultRowHeight="15" x14ac:dyDescent="0.25"/>
  <cols>
    <col min="5" max="5" width="19.42578125" customWidth="1"/>
    <col min="6" max="10" width="17.42578125" customWidth="1"/>
    <col min="13" max="13" width="14.42578125" customWidth="1"/>
  </cols>
  <sheetData>
    <row r="2" spans="5:14" ht="3.75" customHeight="1" x14ac:dyDescent="0.25"/>
    <row r="3" spans="5:14" ht="12.75" customHeight="1" x14ac:dyDescent="0.25"/>
    <row r="4" spans="5:14" ht="36" customHeight="1" x14ac:dyDescent="0.25">
      <c r="E4" s="153" t="s">
        <v>103</v>
      </c>
      <c r="F4" s="154"/>
      <c r="G4" s="154"/>
      <c r="H4" s="154"/>
      <c r="I4" s="154"/>
      <c r="J4" s="155"/>
    </row>
    <row r="5" spans="5:14" ht="37.5" customHeight="1" x14ac:dyDescent="0.25">
      <c r="E5" s="156"/>
      <c r="F5" s="157"/>
      <c r="G5" s="157"/>
      <c r="H5" s="157"/>
      <c r="I5" s="157"/>
      <c r="J5" s="158"/>
    </row>
    <row r="6" spans="5:14" ht="15" customHeight="1" x14ac:dyDescent="0.25">
      <c r="E6" s="159"/>
      <c r="F6" s="160"/>
      <c r="G6" s="160"/>
      <c r="H6" s="160"/>
      <c r="I6" s="160"/>
      <c r="J6" s="161"/>
      <c r="L6" s="162" t="s">
        <v>123</v>
      </c>
      <c r="M6" s="162"/>
    </row>
    <row r="7" spans="5:14" ht="23.25" x14ac:dyDescent="0.35">
      <c r="E7" t="s">
        <v>104</v>
      </c>
      <c r="F7" t="s">
        <v>105</v>
      </c>
      <c r="G7" t="s">
        <v>106</v>
      </c>
      <c r="H7" t="s">
        <v>107</v>
      </c>
      <c r="I7" t="s">
        <v>108</v>
      </c>
      <c r="J7" t="s">
        <v>109</v>
      </c>
      <c r="L7" s="47" t="s">
        <v>124</v>
      </c>
      <c r="M7" s="48">
        <v>0.03</v>
      </c>
    </row>
    <row r="8" spans="5:14" ht="26.25" customHeight="1" x14ac:dyDescent="0.35">
      <c r="E8" s="39" t="s">
        <v>110</v>
      </c>
      <c r="F8" s="43">
        <v>0.01</v>
      </c>
      <c r="G8" s="43">
        <v>118</v>
      </c>
      <c r="H8" s="43">
        <v>0</v>
      </c>
      <c r="I8" s="202">
        <v>0</v>
      </c>
      <c r="J8" s="43">
        <v>0</v>
      </c>
      <c r="L8" s="47" t="s">
        <v>102</v>
      </c>
      <c r="M8" s="48">
        <v>7.2499999999999995E-2</v>
      </c>
    </row>
    <row r="9" spans="5:14" ht="26.25" customHeight="1" x14ac:dyDescent="0.25">
      <c r="E9" s="39" t="s">
        <v>110</v>
      </c>
      <c r="F9" s="43">
        <v>118.01</v>
      </c>
      <c r="G9" s="43">
        <v>223.81</v>
      </c>
      <c r="H9" s="43">
        <v>4.42</v>
      </c>
      <c r="I9" s="202">
        <v>0.1</v>
      </c>
      <c r="J9" s="43">
        <v>118</v>
      </c>
    </row>
    <row r="10" spans="5:14" ht="26.25" customHeight="1" x14ac:dyDescent="0.25">
      <c r="E10" s="39" t="s">
        <v>110</v>
      </c>
      <c r="F10" s="43">
        <v>223.82</v>
      </c>
      <c r="G10" s="43">
        <v>509.52</v>
      </c>
      <c r="H10" s="43">
        <v>15</v>
      </c>
      <c r="I10" s="202">
        <v>0.2</v>
      </c>
      <c r="J10" s="43">
        <v>223.81</v>
      </c>
    </row>
    <row r="11" spans="5:14" ht="26.25" customHeight="1" x14ac:dyDescent="0.25">
      <c r="E11" s="39" t="s">
        <v>110</v>
      </c>
      <c r="F11" s="43">
        <v>509.53</v>
      </c>
      <c r="G11" s="43">
        <v>1000000000</v>
      </c>
      <c r="H11" s="43">
        <v>72.14</v>
      </c>
      <c r="I11" s="202">
        <v>0.3</v>
      </c>
      <c r="J11" s="43">
        <v>509.52</v>
      </c>
    </row>
    <row r="12" spans="5:14" ht="26.25" customHeight="1" x14ac:dyDescent="0.25">
      <c r="E12" s="40" t="s">
        <v>111</v>
      </c>
      <c r="F12" s="44">
        <v>0</v>
      </c>
      <c r="G12" s="44">
        <v>236</v>
      </c>
      <c r="H12" s="44">
        <v>0</v>
      </c>
      <c r="I12" s="203">
        <v>0</v>
      </c>
      <c r="J12" s="44">
        <v>0</v>
      </c>
      <c r="L12" s="50"/>
    </row>
    <row r="13" spans="5:14" ht="26.25" customHeight="1" x14ac:dyDescent="0.25">
      <c r="E13" s="40" t="s">
        <v>111</v>
      </c>
      <c r="F13" s="44">
        <v>236.01</v>
      </c>
      <c r="G13" s="44">
        <v>447.62</v>
      </c>
      <c r="H13" s="44">
        <v>8.83</v>
      </c>
      <c r="I13" s="203">
        <v>0.1</v>
      </c>
      <c r="J13" s="44">
        <v>236</v>
      </c>
    </row>
    <row r="14" spans="5:14" ht="26.25" customHeight="1" x14ac:dyDescent="0.25">
      <c r="E14" s="40" t="s">
        <v>111</v>
      </c>
      <c r="F14" s="44">
        <v>447.63</v>
      </c>
      <c r="G14" s="44">
        <v>1019.05</v>
      </c>
      <c r="H14" s="44">
        <v>30</v>
      </c>
      <c r="I14" s="203">
        <v>0.2</v>
      </c>
      <c r="J14" s="44">
        <v>447.62</v>
      </c>
      <c r="N14">
        <f>23-4</f>
        <v>19</v>
      </c>
    </row>
    <row r="15" spans="5:14" ht="26.25" customHeight="1" x14ac:dyDescent="0.25">
      <c r="E15" s="40" t="s">
        <v>111</v>
      </c>
      <c r="F15" s="44">
        <v>1019.06</v>
      </c>
      <c r="G15" s="44">
        <v>1000000000</v>
      </c>
      <c r="H15" s="44">
        <v>144.28</v>
      </c>
      <c r="I15" s="203">
        <v>0.3</v>
      </c>
      <c r="J15" s="44">
        <v>1019.05</v>
      </c>
    </row>
    <row r="16" spans="5:14" ht="26.25" customHeight="1" x14ac:dyDescent="0.25">
      <c r="E16" s="41" t="s">
        <v>112</v>
      </c>
      <c r="F16" s="45">
        <v>0</v>
      </c>
      <c r="G16" s="45">
        <v>472</v>
      </c>
      <c r="H16" s="45">
        <v>0</v>
      </c>
      <c r="I16" s="204">
        <v>0</v>
      </c>
      <c r="J16" s="45">
        <v>0</v>
      </c>
    </row>
    <row r="17" spans="5:10" ht="26.25" customHeight="1" x14ac:dyDescent="0.25">
      <c r="E17" s="41" t="s">
        <v>112</v>
      </c>
      <c r="F17" s="45">
        <v>472.01</v>
      </c>
      <c r="G17" s="45">
        <v>895.24</v>
      </c>
      <c r="H17" s="45">
        <v>17.670000000000002</v>
      </c>
      <c r="I17" s="204">
        <v>0.1</v>
      </c>
      <c r="J17" s="45">
        <v>472</v>
      </c>
    </row>
    <row r="18" spans="5:10" ht="26.25" customHeight="1" x14ac:dyDescent="0.25">
      <c r="E18" s="41" t="s">
        <v>112</v>
      </c>
      <c r="F18" s="45">
        <v>895.25</v>
      </c>
      <c r="G18" s="45">
        <v>2038.1</v>
      </c>
      <c r="H18" s="45">
        <v>60</v>
      </c>
      <c r="I18" s="204">
        <v>0.2</v>
      </c>
      <c r="J18" s="45">
        <v>895.24</v>
      </c>
    </row>
    <row r="19" spans="5:10" ht="26.25" customHeight="1" x14ac:dyDescent="0.25">
      <c r="E19" s="41" t="s">
        <v>112</v>
      </c>
      <c r="F19" s="45">
        <v>2038.11</v>
      </c>
      <c r="G19" s="45">
        <v>1000000000</v>
      </c>
      <c r="H19" s="45">
        <v>288.57</v>
      </c>
      <c r="I19" s="204">
        <v>0.3</v>
      </c>
      <c r="J19" s="45">
        <v>2038.1</v>
      </c>
    </row>
    <row r="20" spans="5:10" x14ac:dyDescent="0.25">
      <c r="E20" s="42"/>
      <c r="F20" s="42"/>
      <c r="G20" s="42"/>
      <c r="H20" s="42"/>
      <c r="I20" s="42"/>
      <c r="J20" s="42"/>
    </row>
    <row r="21" spans="5:10" x14ac:dyDescent="0.25">
      <c r="E21" s="42"/>
      <c r="F21" s="42"/>
      <c r="G21" s="42"/>
      <c r="H21" s="42"/>
      <c r="I21" s="42"/>
      <c r="J21" s="42"/>
    </row>
  </sheetData>
  <mergeCells count="2">
    <mergeCell ref="E4:J6"/>
    <mergeCell ref="L6:M6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MENSUAL</vt:lpstr>
      <vt:lpstr>QUINCENAL</vt:lpstr>
      <vt:lpstr>SEMANAL</vt:lpstr>
      <vt:lpstr>Planilla ISSS</vt:lpstr>
      <vt:lpstr>Planilla AFP</vt:lpstr>
      <vt:lpstr>Tabla de Renta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2018-04-27T17:36:31Z</dcterms:modified>
</cp:coreProperties>
</file>